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3315\Desktop\"/>
    </mc:Choice>
  </mc:AlternateContent>
  <xr:revisionPtr revIDLastSave="0" documentId="13_ncr:1_{1225A944-158A-4864-B49F-77FCFD5BBCD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★試算★" sheetId="14" r:id="rId1"/>
    <sheet name="計算過程" sheetId="18" r:id="rId2"/>
    <sheet name="給与所得計算" sheetId="6" state="hidden" r:id="rId3"/>
    <sheet name="年金所得計算" sheetId="10" state="hidden" r:id="rId4"/>
  </sheets>
  <definedNames>
    <definedName name="_xlnm.Print_Area" localSheetId="0">★試算★!$B$1:$K$43</definedName>
    <definedName name="_xlnm.Print_Area" localSheetId="1">計算過程!$B$1:$R$38</definedName>
    <definedName name="医療均等割">★試算★!$I$19</definedName>
    <definedName name="医療限度額">★試算★!$I$21</definedName>
    <definedName name="医療所得割率">★試算★!$I$18</definedName>
    <definedName name="医療平等割">★試算★!$I$20</definedName>
    <definedName name="介護均等割">★試算★!$K$19</definedName>
    <definedName name="介護限度額">★試算★!$K$21</definedName>
    <definedName name="介護所得割率">★試算★!$K$18</definedName>
    <definedName name="介護平等割">★試算★!$K$20</definedName>
    <definedName name="支援均等割">★試算★!$J$19</definedName>
    <definedName name="支援限度額">★試算★!$J$21</definedName>
    <definedName name="支援所得割率">★試算★!$J$18</definedName>
    <definedName name="支援平等割">★試算★!$J$20</definedName>
    <definedName name="年度">★試算★!$B$3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8" l="1"/>
  <c r="C3" i="14" l="1"/>
  <c r="J33" i="14" l="1"/>
  <c r="J31" i="14"/>
  <c r="J32" i="14"/>
  <c r="J30" i="14"/>
  <c r="J29" i="14"/>
  <c r="E33" i="14" l="1"/>
  <c r="E32" i="14"/>
  <c r="E31" i="14"/>
  <c r="E30" i="14"/>
  <c r="E29" i="14"/>
  <c r="G33" i="14"/>
  <c r="G32" i="14"/>
  <c r="G31" i="14"/>
  <c r="G30" i="14"/>
  <c r="I31" i="14"/>
  <c r="I32" i="14"/>
  <c r="I33" i="14"/>
  <c r="I30" i="14"/>
  <c r="K32" i="14"/>
  <c r="K33" i="14"/>
  <c r="B17" i="14"/>
  <c r="N32" i="18" l="1"/>
  <c r="H32" i="18"/>
  <c r="B9" i="18"/>
  <c r="L29" i="18" l="1"/>
  <c r="J20" i="18"/>
  <c r="R29" i="18" l="1"/>
  <c r="N23" i="18"/>
  <c r="P20" i="18"/>
  <c r="H25" i="18"/>
  <c r="H23" i="18"/>
  <c r="B32" i="18"/>
  <c r="F29" i="18"/>
  <c r="B25" i="18"/>
  <c r="B23" i="18"/>
  <c r="D20" i="18"/>
  <c r="N13" i="18"/>
  <c r="J13" i="18"/>
  <c r="N12" i="18"/>
  <c r="L12" i="18"/>
  <c r="J12" i="18"/>
  <c r="N11" i="18"/>
  <c r="L11" i="18"/>
  <c r="J11" i="18"/>
  <c r="N10" i="18"/>
  <c r="L10" i="18"/>
  <c r="J10" i="18"/>
  <c r="B13" i="18"/>
  <c r="B12" i="18"/>
  <c r="B11" i="18"/>
  <c r="B8" i="18"/>
  <c r="L25" i="14" l="1"/>
  <c r="L26" i="14"/>
  <c r="L27" i="14"/>
  <c r="L29" i="14"/>
  <c r="L30" i="14"/>
  <c r="L31" i="14"/>
  <c r="L32" i="14"/>
  <c r="L33" i="14"/>
  <c r="F42" i="14" l="1"/>
  <c r="C34" i="14" l="1"/>
  <c r="F8" i="18" s="1"/>
  <c r="F39" i="14" l="1"/>
  <c r="G39" i="14"/>
  <c r="C36" i="14"/>
  <c r="E34" i="14" l="1"/>
  <c r="F11" i="18" s="1"/>
  <c r="D34" i="14"/>
  <c r="F9" i="18" s="1"/>
  <c r="P23" i="18" s="1"/>
  <c r="R23" i="18" s="1"/>
  <c r="D25" i="18" l="1"/>
  <c r="F25" i="18" s="1"/>
  <c r="D27" i="18" s="1"/>
  <c r="J25" i="18"/>
  <c r="L25" i="18" s="1"/>
  <c r="J27" i="18" s="1"/>
  <c r="D23" i="18"/>
  <c r="F23" i="18" s="1"/>
  <c r="J23" i="18"/>
  <c r="L23" i="18" s="1"/>
  <c r="H39" i="14"/>
  <c r="H38" i="14"/>
  <c r="C37" i="14"/>
  <c r="C38" i="14"/>
  <c r="G38" i="14"/>
  <c r="F38" i="14"/>
  <c r="B40" i="14"/>
  <c r="D29" i="10"/>
  <c r="D28" i="10"/>
  <c r="D27" i="10"/>
  <c r="D26" i="10"/>
  <c r="D22" i="10"/>
  <c r="D23" i="10"/>
  <c r="D21" i="10"/>
  <c r="D20" i="10"/>
  <c r="F4" i="10"/>
  <c r="Q5" i="10"/>
  <c r="K5" i="10"/>
  <c r="P4" i="10"/>
  <c r="J4" i="10"/>
  <c r="L4" i="10"/>
  <c r="M5" i="10" s="1"/>
  <c r="C7" i="10"/>
  <c r="H18" i="10" s="1"/>
  <c r="H27" i="10" s="1"/>
  <c r="C8" i="10"/>
  <c r="I18" i="10" s="1"/>
  <c r="C9" i="10"/>
  <c r="J18" i="10" s="1"/>
  <c r="C10" i="10"/>
  <c r="K18" i="10" s="1"/>
  <c r="C11" i="10"/>
  <c r="L18" i="10" s="1"/>
  <c r="C12" i="10"/>
  <c r="M18" i="10" s="1"/>
  <c r="C13" i="10"/>
  <c r="N18" i="10" s="1"/>
  <c r="C14" i="10"/>
  <c r="O18" i="10" s="1"/>
  <c r="C15" i="10"/>
  <c r="P18" i="10" s="1"/>
  <c r="C6" i="10"/>
  <c r="G18" i="10" s="1"/>
  <c r="E7" i="10"/>
  <c r="Q7" i="10" s="1"/>
  <c r="E8" i="10"/>
  <c r="P8" i="10" s="1"/>
  <c r="E9" i="10"/>
  <c r="E10" i="10"/>
  <c r="P10" i="10" s="1"/>
  <c r="E11" i="10"/>
  <c r="Q11" i="10" s="1"/>
  <c r="E12" i="10"/>
  <c r="O12" i="10" s="1"/>
  <c r="E13" i="10"/>
  <c r="P13" i="10" s="1"/>
  <c r="E14" i="10"/>
  <c r="Q14" i="10" s="1"/>
  <c r="E15" i="10"/>
  <c r="L15" i="10" s="1"/>
  <c r="E6" i="10"/>
  <c r="G24" i="6"/>
  <c r="J24" i="6" s="1"/>
  <c r="G23" i="6"/>
  <c r="M23" i="6" s="1"/>
  <c r="G22" i="6"/>
  <c r="J22" i="6" s="1"/>
  <c r="G21" i="6"/>
  <c r="M21" i="6" s="1"/>
  <c r="F20" i="6"/>
  <c r="F29" i="6"/>
  <c r="F28" i="6"/>
  <c r="F27" i="6"/>
  <c r="F26" i="6"/>
  <c r="F25" i="6"/>
  <c r="O4" i="6"/>
  <c r="F4" i="6"/>
  <c r="C7" i="6"/>
  <c r="J18" i="6" s="1"/>
  <c r="C8" i="6"/>
  <c r="K18" i="6" s="1"/>
  <c r="C9" i="6"/>
  <c r="L18" i="6" s="1"/>
  <c r="C10" i="6"/>
  <c r="M18" i="6" s="1"/>
  <c r="C11" i="6"/>
  <c r="L11" i="6" s="1"/>
  <c r="C12" i="6"/>
  <c r="I12" i="6" s="1"/>
  <c r="C13" i="6"/>
  <c r="J13" i="6" s="1"/>
  <c r="C14" i="6"/>
  <c r="Q18" i="6" s="1"/>
  <c r="C15" i="6"/>
  <c r="H15" i="6" s="1"/>
  <c r="C6" i="6"/>
  <c r="M6" i="6" s="1"/>
  <c r="L27" i="18" l="1"/>
  <c r="H27" i="18"/>
  <c r="B27" i="18"/>
  <c r="F27" i="18"/>
  <c r="Q9" i="10"/>
  <c r="N27" i="10"/>
  <c r="J12" i="6"/>
  <c r="H11" i="6"/>
  <c r="J27" i="6"/>
  <c r="Q20" i="6"/>
  <c r="K20" i="6"/>
  <c r="K29" i="10"/>
  <c r="J20" i="6"/>
  <c r="H21" i="10"/>
  <c r="N24" i="10"/>
  <c r="P30" i="10"/>
  <c r="P23" i="10"/>
  <c r="P21" i="10"/>
  <c r="P20" i="10"/>
  <c r="P28" i="10"/>
  <c r="P24" i="10"/>
  <c r="P29" i="10"/>
  <c r="P27" i="10"/>
  <c r="P26" i="10"/>
  <c r="P22" i="10"/>
  <c r="J30" i="10"/>
  <c r="J23" i="10"/>
  <c r="J20" i="10"/>
  <c r="J27" i="10"/>
  <c r="J28" i="10"/>
  <c r="J24" i="10"/>
  <c r="J29" i="10"/>
  <c r="J26" i="10"/>
  <c r="J22" i="10"/>
  <c r="J21" i="10"/>
  <c r="M28" i="10"/>
  <c r="M24" i="10"/>
  <c r="M21" i="10"/>
  <c r="M29" i="10"/>
  <c r="M26" i="10"/>
  <c r="M22" i="10"/>
  <c r="M27" i="10"/>
  <c r="M30" i="10"/>
  <c r="M23" i="10"/>
  <c r="M20" i="10"/>
  <c r="G29" i="10"/>
  <c r="G26" i="10"/>
  <c r="G22" i="10"/>
  <c r="G30" i="10"/>
  <c r="G27" i="10"/>
  <c r="G23" i="10"/>
  <c r="G20" i="10"/>
  <c r="G28" i="10"/>
  <c r="G24" i="10"/>
  <c r="G21" i="10"/>
  <c r="O30" i="10"/>
  <c r="O23" i="10"/>
  <c r="O20" i="10"/>
  <c r="O27" i="10"/>
  <c r="O28" i="10"/>
  <c r="O24" i="10"/>
  <c r="O21" i="10"/>
  <c r="O29" i="10"/>
  <c r="O26" i="10"/>
  <c r="O22" i="10"/>
  <c r="I30" i="10"/>
  <c r="I23" i="10"/>
  <c r="I20" i="10"/>
  <c r="I27" i="10"/>
  <c r="I28" i="10"/>
  <c r="I24" i="10"/>
  <c r="I21" i="10"/>
  <c r="I29" i="10"/>
  <c r="I26" i="10"/>
  <c r="I22" i="10"/>
  <c r="L21" i="10"/>
  <c r="L29" i="10"/>
  <c r="L26" i="10"/>
  <c r="L22" i="10"/>
  <c r="L30" i="10"/>
  <c r="L23" i="10"/>
  <c r="L20" i="10"/>
  <c r="L28" i="10"/>
  <c r="L27" i="10"/>
  <c r="L24" i="10"/>
  <c r="K24" i="10"/>
  <c r="K28" i="10"/>
  <c r="N20" i="10"/>
  <c r="H20" i="10"/>
  <c r="K21" i="10"/>
  <c r="N23" i="10"/>
  <c r="H23" i="10"/>
  <c r="N30" i="10"/>
  <c r="H30" i="10"/>
  <c r="N22" i="10"/>
  <c r="H22" i="10"/>
  <c r="N26" i="10"/>
  <c r="H26" i="10"/>
  <c r="K27" i="10"/>
  <c r="N29" i="10"/>
  <c r="H29" i="10"/>
  <c r="K20" i="10"/>
  <c r="N21" i="10"/>
  <c r="K23" i="10"/>
  <c r="K30" i="10"/>
  <c r="H24" i="10"/>
  <c r="N28" i="10"/>
  <c r="H28" i="10"/>
  <c r="K22" i="10"/>
  <c r="K26" i="10"/>
  <c r="H13" i="10"/>
  <c r="L7" i="10"/>
  <c r="J7" i="10"/>
  <c r="O13" i="10"/>
  <c r="N7" i="10"/>
  <c r="M13" i="10"/>
  <c r="H10" i="10"/>
  <c r="L13" i="10"/>
  <c r="P15" i="10"/>
  <c r="O9" i="10"/>
  <c r="P14" i="10"/>
  <c r="O8" i="10"/>
  <c r="Q12" i="10"/>
  <c r="I12" i="10"/>
  <c r="O14" i="10"/>
  <c r="N12" i="10"/>
  <c r="N8" i="10"/>
  <c r="Q13" i="10"/>
  <c r="H12" i="10"/>
  <c r="N14" i="10"/>
  <c r="M12" i="10"/>
  <c r="M8" i="10"/>
  <c r="F7" i="10"/>
  <c r="D7" i="10" s="1"/>
  <c r="I15" i="10"/>
  <c r="I9" i="10"/>
  <c r="L12" i="10"/>
  <c r="H7" i="10"/>
  <c r="N13" i="10"/>
  <c r="P9" i="10"/>
  <c r="M7" i="10"/>
  <c r="M11" i="10"/>
  <c r="L11" i="10"/>
  <c r="K9" i="10"/>
  <c r="H15" i="10"/>
  <c r="H9" i="10"/>
  <c r="N9" i="10"/>
  <c r="Q10" i="10"/>
  <c r="F14" i="10"/>
  <c r="D14" i="10" s="1"/>
  <c r="H14" i="10"/>
  <c r="H11" i="10"/>
  <c r="H8" i="10"/>
  <c r="M15" i="10"/>
  <c r="L14" i="10"/>
  <c r="P12" i="10"/>
  <c r="O11" i="10"/>
  <c r="M10" i="10"/>
  <c r="L9" i="10"/>
  <c r="P7" i="10"/>
  <c r="Q15" i="10"/>
  <c r="Q8" i="10"/>
  <c r="O15" i="10"/>
  <c r="F11" i="10"/>
  <c r="F15" i="10"/>
  <c r="D15" i="10" s="1"/>
  <c r="I14" i="10"/>
  <c r="I11" i="10"/>
  <c r="I8" i="10"/>
  <c r="N15" i="10"/>
  <c r="M14" i="10"/>
  <c r="P11" i="10"/>
  <c r="O10" i="10"/>
  <c r="M9" i="10"/>
  <c r="L8" i="10"/>
  <c r="N10" i="10"/>
  <c r="F8" i="10"/>
  <c r="D8" i="10" s="1"/>
  <c r="I13" i="10"/>
  <c r="I10" i="10"/>
  <c r="I7" i="10"/>
  <c r="N11" i="10"/>
  <c r="L10" i="10"/>
  <c r="O7" i="10"/>
  <c r="K12" i="10"/>
  <c r="K11" i="10"/>
  <c r="K10" i="10"/>
  <c r="K14" i="10"/>
  <c r="K15" i="10"/>
  <c r="K8" i="10"/>
  <c r="K13" i="10"/>
  <c r="K7" i="10"/>
  <c r="P6" i="10"/>
  <c r="K6" i="10"/>
  <c r="J6" i="10"/>
  <c r="F6" i="10"/>
  <c r="I6" i="10"/>
  <c r="H6" i="10"/>
  <c r="M6" i="10"/>
  <c r="L6" i="10"/>
  <c r="N6" i="10"/>
  <c r="Q6" i="10"/>
  <c r="O6" i="10"/>
  <c r="F12" i="10"/>
  <c r="F9" i="10"/>
  <c r="G5" i="10"/>
  <c r="G6" i="10" s="1"/>
  <c r="F13" i="10"/>
  <c r="D13" i="10" s="1"/>
  <c r="J14" i="10"/>
  <c r="J11" i="10"/>
  <c r="J8" i="10"/>
  <c r="J15" i="10"/>
  <c r="J12" i="10"/>
  <c r="J9" i="10"/>
  <c r="J13" i="10"/>
  <c r="J10" i="10"/>
  <c r="F10" i="10"/>
  <c r="M24" i="6"/>
  <c r="R18" i="6"/>
  <c r="R20" i="6" s="1"/>
  <c r="O22" i="6"/>
  <c r="M22" i="6"/>
  <c r="J25" i="6"/>
  <c r="J29" i="6"/>
  <c r="I24" i="6"/>
  <c r="O24" i="6"/>
  <c r="M25" i="6"/>
  <c r="M27" i="6"/>
  <c r="M29" i="6"/>
  <c r="M20" i="6"/>
  <c r="M26" i="6"/>
  <c r="M28" i="6"/>
  <c r="L20" i="6"/>
  <c r="L26" i="6"/>
  <c r="L28" i="6"/>
  <c r="L25" i="6"/>
  <c r="L27" i="6"/>
  <c r="L29" i="6"/>
  <c r="R23" i="6"/>
  <c r="L23" i="6"/>
  <c r="R21" i="6"/>
  <c r="L21" i="6"/>
  <c r="Q29" i="6"/>
  <c r="K29" i="6"/>
  <c r="Q27" i="6"/>
  <c r="K27" i="6"/>
  <c r="Q25" i="6"/>
  <c r="K25" i="6"/>
  <c r="N24" i="6"/>
  <c r="Q23" i="6"/>
  <c r="K23" i="6"/>
  <c r="N22" i="6"/>
  <c r="Q21" i="6"/>
  <c r="K21" i="6"/>
  <c r="P23" i="6"/>
  <c r="J21" i="6"/>
  <c r="I21" i="6"/>
  <c r="R24" i="6"/>
  <c r="L24" i="6"/>
  <c r="O23" i="6"/>
  <c r="R22" i="6"/>
  <c r="L22" i="6"/>
  <c r="O21" i="6"/>
  <c r="I22" i="6"/>
  <c r="Q28" i="6"/>
  <c r="K28" i="6"/>
  <c r="Q26" i="6"/>
  <c r="K26" i="6"/>
  <c r="Q24" i="6"/>
  <c r="K24" i="6"/>
  <c r="N23" i="6"/>
  <c r="Q22" i="6"/>
  <c r="K22" i="6"/>
  <c r="N21" i="6"/>
  <c r="J23" i="6"/>
  <c r="P21" i="6"/>
  <c r="I23" i="6"/>
  <c r="J28" i="6"/>
  <c r="J26" i="6"/>
  <c r="P24" i="6"/>
  <c r="P22" i="6"/>
  <c r="N18" i="6"/>
  <c r="I18" i="6"/>
  <c r="O18" i="6"/>
  <c r="P18" i="6"/>
  <c r="K12" i="6"/>
  <c r="J11" i="6"/>
  <c r="I11" i="6"/>
  <c r="N13" i="6"/>
  <c r="M11" i="6"/>
  <c r="M13" i="6"/>
  <c r="K11" i="6"/>
  <c r="H12" i="6"/>
  <c r="O13" i="6"/>
  <c r="N11" i="6"/>
  <c r="O11" i="6"/>
  <c r="P5" i="6"/>
  <c r="P12" i="6" s="1"/>
  <c r="H13" i="6"/>
  <c r="F13" i="6"/>
  <c r="D13" i="6" s="1"/>
  <c r="I2" i="6" s="1"/>
  <c r="L12" i="6"/>
  <c r="G5" i="6"/>
  <c r="O14" i="6"/>
  <c r="F6" i="6"/>
  <c r="F8" i="6"/>
  <c r="F11" i="6"/>
  <c r="D11" i="6" s="1"/>
  <c r="G2" i="6" s="1"/>
  <c r="F10" i="6"/>
  <c r="D10" i="6" s="1"/>
  <c r="F2" i="6" s="1"/>
  <c r="E28" i="14" s="1"/>
  <c r="F7" i="6"/>
  <c r="F9" i="6"/>
  <c r="K15" i="6"/>
  <c r="J15" i="6"/>
  <c r="I14" i="6"/>
  <c r="K13" i="6"/>
  <c r="N12" i="6"/>
  <c r="O15" i="6"/>
  <c r="N14" i="6"/>
  <c r="J14" i="6"/>
  <c r="L13" i="6"/>
  <c r="I15" i="6"/>
  <c r="H14" i="6"/>
  <c r="I13" i="6"/>
  <c r="M12" i="6"/>
  <c r="F12" i="6"/>
  <c r="D12" i="6" s="1"/>
  <c r="H2" i="6" s="1"/>
  <c r="M15" i="6"/>
  <c r="L14" i="6"/>
  <c r="F14" i="6"/>
  <c r="D14" i="6" s="1"/>
  <c r="J2" i="6" s="1"/>
  <c r="L15" i="6"/>
  <c r="F15" i="6"/>
  <c r="D15" i="6" s="1"/>
  <c r="K2" i="6" s="1"/>
  <c r="K14" i="6"/>
  <c r="O12" i="6"/>
  <c r="N15" i="6"/>
  <c r="M14" i="6"/>
  <c r="R26" i="6" l="1"/>
  <c r="D6" i="10"/>
  <c r="G8" i="10"/>
  <c r="G10" i="10"/>
  <c r="D10" i="10" s="1"/>
  <c r="G12" i="10"/>
  <c r="D12" i="10" s="1"/>
  <c r="G14" i="10"/>
  <c r="G7" i="10"/>
  <c r="G9" i="10"/>
  <c r="D9" i="10" s="1"/>
  <c r="G11" i="10"/>
  <c r="D11" i="10" s="1"/>
  <c r="G13" i="10"/>
  <c r="G15" i="10"/>
  <c r="R25" i="6"/>
  <c r="R27" i="6"/>
  <c r="R29" i="6"/>
  <c r="R28" i="6"/>
  <c r="O25" i="6"/>
  <c r="O27" i="6"/>
  <c r="O29" i="6"/>
  <c r="O20" i="6"/>
  <c r="O26" i="6"/>
  <c r="O28" i="6"/>
  <c r="P20" i="6"/>
  <c r="P26" i="6"/>
  <c r="P28" i="6"/>
  <c r="P25" i="6"/>
  <c r="P27" i="6"/>
  <c r="P29" i="6"/>
  <c r="I29" i="6"/>
  <c r="I28" i="6"/>
  <c r="I27" i="6"/>
  <c r="I26" i="6"/>
  <c r="I20" i="6"/>
  <c r="I25" i="6"/>
  <c r="N25" i="6"/>
  <c r="N27" i="6"/>
  <c r="N29" i="6"/>
  <c r="N20" i="6"/>
  <c r="N26" i="6"/>
  <c r="N28" i="6"/>
  <c r="P11" i="6"/>
  <c r="G11" i="6"/>
  <c r="G13" i="6"/>
  <c r="G12" i="6"/>
  <c r="P15" i="6"/>
  <c r="G14" i="6"/>
  <c r="P13" i="6"/>
  <c r="G15" i="6"/>
  <c r="P14" i="6"/>
  <c r="G42" i="14" l="1"/>
  <c r="H42" i="14" l="1"/>
  <c r="P6" i="6" l="1"/>
  <c r="B19" i="10" l="1"/>
  <c r="B30" i="10"/>
  <c r="B29" i="10"/>
  <c r="B28" i="10"/>
  <c r="B27" i="10"/>
  <c r="B26" i="10"/>
  <c r="B25" i="10"/>
  <c r="B24" i="10"/>
  <c r="B23" i="10"/>
  <c r="B22" i="10"/>
  <c r="B21" i="10"/>
  <c r="B20" i="10"/>
  <c r="E2" i="10" l="1"/>
  <c r="G27" i="14" s="1"/>
  <c r="D2" i="10"/>
  <c r="G26" i="14" s="1"/>
  <c r="I2" i="10"/>
  <c r="F2" i="10"/>
  <c r="G28" i="14" s="1"/>
  <c r="G2" i="10"/>
  <c r="G29" i="14" s="1"/>
  <c r="I29" i="14" s="1"/>
  <c r="K2" i="10"/>
  <c r="C2" i="10"/>
  <c r="G25" i="14" s="1"/>
  <c r="H2" i="10"/>
  <c r="J2" i="10"/>
  <c r="B2" i="10"/>
  <c r="G24" i="14" s="1"/>
  <c r="P10" i="6"/>
  <c r="P9" i="6"/>
  <c r="P8" i="6"/>
  <c r="I28" i="14" l="1"/>
  <c r="J28" i="14"/>
  <c r="M7" i="6"/>
  <c r="P7" i="6"/>
  <c r="L7" i="6"/>
  <c r="K7" i="6"/>
  <c r="J7" i="6"/>
  <c r="G7" i="6"/>
  <c r="O7" i="6"/>
  <c r="I7" i="6"/>
  <c r="N7" i="6"/>
  <c r="H7" i="6"/>
  <c r="K29" i="14" l="1"/>
  <c r="K30" i="14"/>
  <c r="K31" i="14"/>
  <c r="D7" i="6"/>
  <c r="C2" i="6" s="1"/>
  <c r="E25" i="14" s="1"/>
  <c r="I6" i="6"/>
  <c r="O6" i="6"/>
  <c r="J6" i="6"/>
  <c r="G6" i="6"/>
  <c r="K6" i="6"/>
  <c r="L6" i="6"/>
  <c r="H6" i="6"/>
  <c r="N6" i="6"/>
  <c r="M10" i="6"/>
  <c r="G10" i="6"/>
  <c r="H10" i="6"/>
  <c r="N10" i="6"/>
  <c r="I10" i="6"/>
  <c r="O10" i="6"/>
  <c r="J10" i="6"/>
  <c r="K10" i="6"/>
  <c r="L10" i="6"/>
  <c r="K8" i="6"/>
  <c r="L8" i="6"/>
  <c r="M8" i="6"/>
  <c r="H8" i="6"/>
  <c r="N8" i="6"/>
  <c r="I8" i="6"/>
  <c r="O8" i="6"/>
  <c r="G8" i="6"/>
  <c r="D8" i="6" s="1"/>
  <c r="D2" i="6" s="1"/>
  <c r="E26" i="14" s="1"/>
  <c r="J8" i="6"/>
  <c r="I9" i="6"/>
  <c r="O9" i="6"/>
  <c r="J9" i="6"/>
  <c r="K9" i="6"/>
  <c r="L9" i="6"/>
  <c r="M9" i="6"/>
  <c r="N9" i="6"/>
  <c r="H9" i="6"/>
  <c r="G9" i="6"/>
  <c r="I25" i="14" l="1"/>
  <c r="J25" i="14"/>
  <c r="I26" i="14"/>
  <c r="J26" i="14"/>
  <c r="K28" i="14"/>
  <c r="L28" i="14" s="1"/>
  <c r="D9" i="6"/>
  <c r="E2" i="6" s="1"/>
  <c r="E27" i="14" s="1"/>
  <c r="D6" i="6"/>
  <c r="B2" i="6" s="1"/>
  <c r="I27" i="14" l="1"/>
  <c r="J27" i="14"/>
  <c r="K25" i="14"/>
  <c r="K26" i="14"/>
  <c r="E24" i="14"/>
  <c r="I24" i="14" s="1"/>
  <c r="K27" i="14" l="1"/>
  <c r="J24" i="14"/>
  <c r="K24" i="14" l="1"/>
  <c r="L24" i="14" s="1"/>
  <c r="L34" i="14" s="1"/>
  <c r="F13" i="18" l="1"/>
  <c r="N20" i="18"/>
  <c r="H37" i="14"/>
  <c r="H40" i="14" s="1"/>
  <c r="H41" i="14" s="1"/>
  <c r="H43" i="14" s="1"/>
  <c r="R20" i="18"/>
  <c r="R33" i="18" s="1"/>
  <c r="K34" i="14"/>
  <c r="C40" i="14"/>
  <c r="H20" i="18" l="1"/>
  <c r="G37" i="14"/>
  <c r="G40" i="14" s="1"/>
  <c r="G41" i="14" s="1"/>
  <c r="G43" i="14" s="1"/>
  <c r="F37" i="14"/>
  <c r="F40" i="14" s="1"/>
  <c r="F41" i="14" s="1"/>
  <c r="F12" i="18"/>
  <c r="L20" i="18"/>
  <c r="L33" i="18" s="1"/>
  <c r="C39" i="14"/>
  <c r="F20" i="18"/>
  <c r="F33" i="18" s="1"/>
  <c r="B20" i="18"/>
  <c r="N33" i="18"/>
  <c r="H33" i="18" l="1"/>
  <c r="B33" i="18"/>
  <c r="B36" i="18"/>
  <c r="F36" i="18"/>
  <c r="H36" i="18" s="1"/>
  <c r="F43" i="14"/>
  <c r="J37" i="14" s="1"/>
  <c r="K40" i="14" s="1"/>
</calcChain>
</file>

<file path=xl/sharedStrings.xml><?xml version="1.0" encoding="utf-8"?>
<sst xmlns="http://schemas.openxmlformats.org/spreadsheetml/2006/main" count="189" uniqueCount="115">
  <si>
    <t>給与収入</t>
    <rPh sb="0" eb="2">
      <t>キュウヨ</t>
    </rPh>
    <rPh sb="2" eb="4">
      <t>シュウニュウ</t>
    </rPh>
    <phoneticPr fontId="2"/>
  </si>
  <si>
    <t>年金収入</t>
    <rPh sb="0" eb="2">
      <t>ネンキン</t>
    </rPh>
    <rPh sb="2" eb="4">
      <t>シュウニュウ</t>
    </rPh>
    <phoneticPr fontId="2"/>
  </si>
  <si>
    <t>合計</t>
    <rPh sb="0" eb="2">
      <t>ゴウケイ</t>
    </rPh>
    <phoneticPr fontId="1"/>
  </si>
  <si>
    <t>収入下限</t>
    <rPh sb="0" eb="2">
      <t>シュウニュウ</t>
    </rPh>
    <rPh sb="2" eb="4">
      <t>カゲン</t>
    </rPh>
    <phoneticPr fontId="5"/>
  </si>
  <si>
    <t>収入上限</t>
    <rPh sb="0" eb="2">
      <t>シュウニュウ</t>
    </rPh>
    <rPh sb="2" eb="4">
      <t>ジョウゲン</t>
    </rPh>
    <phoneticPr fontId="5"/>
  </si>
  <si>
    <t>判定</t>
    <rPh sb="0" eb="2">
      <t>ハンテイ</t>
    </rPh>
    <phoneticPr fontId="5"/>
  </si>
  <si>
    <t>割ること</t>
    <rPh sb="0" eb="1">
      <t>ワ</t>
    </rPh>
    <phoneticPr fontId="5"/>
  </si>
  <si>
    <t>千円未満切捨て</t>
    <rPh sb="0" eb="2">
      <t>センエン</t>
    </rPh>
    <rPh sb="2" eb="4">
      <t>ミマン</t>
    </rPh>
    <rPh sb="4" eb="5">
      <t>キ</t>
    </rPh>
    <rPh sb="5" eb="6">
      <t>ス</t>
    </rPh>
    <phoneticPr fontId="5"/>
  </si>
  <si>
    <t>乗ずること</t>
    <rPh sb="0" eb="1">
      <t>ジョウ</t>
    </rPh>
    <phoneticPr fontId="5"/>
  </si>
  <si>
    <t>引くこと</t>
    <rPh sb="0" eb="1">
      <t>ヒ</t>
    </rPh>
    <phoneticPr fontId="5"/>
  </si>
  <si>
    <t>給与収入</t>
    <rPh sb="0" eb="2">
      <t>キュウヨ</t>
    </rPh>
    <rPh sb="2" eb="4">
      <t>シュウニュウ</t>
    </rPh>
    <phoneticPr fontId="1"/>
  </si>
  <si>
    <t>所得判定</t>
    <rPh sb="0" eb="2">
      <t>ショトク</t>
    </rPh>
    <rPh sb="2" eb="4">
      <t>ハンテイ</t>
    </rPh>
    <phoneticPr fontId="1"/>
  </si>
  <si>
    <t>区分1</t>
    <rPh sb="0" eb="2">
      <t>クブン</t>
    </rPh>
    <phoneticPr fontId="1"/>
  </si>
  <si>
    <t>区分2</t>
    <rPh sb="0" eb="2">
      <t>クブン</t>
    </rPh>
    <phoneticPr fontId="1"/>
  </si>
  <si>
    <t>区分3</t>
    <rPh sb="0" eb="2">
      <t>クブン</t>
    </rPh>
    <phoneticPr fontId="1"/>
  </si>
  <si>
    <t>区分4</t>
    <rPh sb="0" eb="2">
      <t>クブン</t>
    </rPh>
    <phoneticPr fontId="1"/>
  </si>
  <si>
    <t>区分5</t>
    <rPh sb="0" eb="2">
      <t>クブン</t>
    </rPh>
    <phoneticPr fontId="1"/>
  </si>
  <si>
    <t>区分6</t>
    <rPh sb="0" eb="2">
      <t>クブン</t>
    </rPh>
    <phoneticPr fontId="1"/>
  </si>
  <si>
    <t>区分7</t>
    <rPh sb="0" eb="2">
      <t>クブン</t>
    </rPh>
    <phoneticPr fontId="1"/>
  </si>
  <si>
    <t>区分8</t>
    <rPh sb="0" eb="2">
      <t>クブン</t>
    </rPh>
    <phoneticPr fontId="1"/>
  </si>
  <si>
    <t>区分9</t>
    <rPh sb="0" eb="2">
      <t>クブン</t>
    </rPh>
    <phoneticPr fontId="1"/>
  </si>
  <si>
    <t>区分10</t>
    <rPh sb="0" eb="2">
      <t>クブン</t>
    </rPh>
    <phoneticPr fontId="1"/>
  </si>
  <si>
    <t>区分11</t>
    <rPh sb="0" eb="2">
      <t>クブン</t>
    </rPh>
    <phoneticPr fontId="1"/>
  </si>
  <si>
    <t>②所得の計算</t>
    <rPh sb="1" eb="3">
      <t>ショトク</t>
    </rPh>
    <rPh sb="4" eb="6">
      <t>ケイサン</t>
    </rPh>
    <phoneticPr fontId="1"/>
  </si>
  <si>
    <t>①収入金額の確認</t>
    <rPh sb="1" eb="3">
      <t>シュウニュウ</t>
    </rPh>
    <rPh sb="3" eb="5">
      <t>キンガク</t>
    </rPh>
    <rPh sb="6" eb="8">
      <t>カクニン</t>
    </rPh>
    <phoneticPr fontId="1"/>
  </si>
  <si>
    <t>計算不要</t>
    <rPh sb="0" eb="2">
      <t>ケイサン</t>
    </rPh>
    <rPh sb="2" eb="4">
      <t>フヨウ</t>
    </rPh>
    <phoneticPr fontId="1"/>
  </si>
  <si>
    <t>年金収入</t>
    <rPh sb="0" eb="2">
      <t>ネンキン</t>
    </rPh>
    <rPh sb="2" eb="4">
      <t>シュウニュウ</t>
    </rPh>
    <phoneticPr fontId="1"/>
  </si>
  <si>
    <t>U1</t>
    <phoneticPr fontId="1"/>
  </si>
  <si>
    <t>U2</t>
    <phoneticPr fontId="1"/>
  </si>
  <si>
    <t>U3</t>
    <phoneticPr fontId="1"/>
  </si>
  <si>
    <t>U4</t>
    <phoneticPr fontId="1"/>
  </si>
  <si>
    <t>U5</t>
    <phoneticPr fontId="1"/>
  </si>
  <si>
    <t>U6</t>
    <phoneticPr fontId="1"/>
  </si>
  <si>
    <t>O1</t>
    <phoneticPr fontId="1"/>
  </si>
  <si>
    <t>O2</t>
    <phoneticPr fontId="1"/>
  </si>
  <si>
    <t>O3</t>
    <phoneticPr fontId="1"/>
  </si>
  <si>
    <t>O4</t>
    <phoneticPr fontId="1"/>
  </si>
  <si>
    <t>O5</t>
    <phoneticPr fontId="1"/>
  </si>
  <si>
    <t>O6</t>
    <phoneticPr fontId="1"/>
  </si>
  <si>
    <t>結果</t>
    <rPh sb="0" eb="2">
      <t>ケッカ</t>
    </rPh>
    <phoneticPr fontId="1"/>
  </si>
  <si>
    <t>医療分</t>
    <rPh sb="0" eb="2">
      <t>イリョウ</t>
    </rPh>
    <rPh sb="2" eb="3">
      <t>ブン</t>
    </rPh>
    <phoneticPr fontId="1"/>
  </si>
  <si>
    <t>所得割率</t>
    <rPh sb="0" eb="2">
      <t>ショトク</t>
    </rPh>
    <rPh sb="2" eb="3">
      <t>ワリ</t>
    </rPh>
    <rPh sb="3" eb="4">
      <t>リツ</t>
    </rPh>
    <phoneticPr fontId="1"/>
  </si>
  <si>
    <t>限度額</t>
    <rPh sb="0" eb="2">
      <t>ゲンド</t>
    </rPh>
    <rPh sb="2" eb="3">
      <t>ガク</t>
    </rPh>
    <phoneticPr fontId="1"/>
  </si>
  <si>
    <t>○</t>
    <phoneticPr fontId="1"/>
  </si>
  <si>
    <t>【注意事項】</t>
    <rPh sb="1" eb="3">
      <t>チュウイ</t>
    </rPh>
    <rPh sb="3" eb="5">
      <t>ジコウ</t>
    </rPh>
    <phoneticPr fontId="1"/>
  </si>
  <si>
    <t>4/1時点の年齢</t>
    <rPh sb="3" eb="5">
      <t>ジテン</t>
    </rPh>
    <rPh sb="6" eb="7">
      <t>ネン</t>
    </rPh>
    <rPh sb="7" eb="8">
      <t>ヨワイ</t>
    </rPh>
    <phoneticPr fontId="2"/>
  </si>
  <si>
    <t>加入者1</t>
    <rPh sb="0" eb="3">
      <t>カニュウシャ</t>
    </rPh>
    <phoneticPr fontId="1"/>
  </si>
  <si>
    <t>加入者2</t>
    <rPh sb="0" eb="3">
      <t>カニュウシャ</t>
    </rPh>
    <phoneticPr fontId="1"/>
  </si>
  <si>
    <t>加入者3</t>
    <rPh sb="0" eb="3">
      <t>カニュウシャ</t>
    </rPh>
    <phoneticPr fontId="1"/>
  </si>
  <si>
    <t>加入者4</t>
    <rPh sb="0" eb="3">
      <t>カニュウシャ</t>
    </rPh>
    <phoneticPr fontId="1"/>
  </si>
  <si>
    <t>加入者5</t>
    <rPh sb="0" eb="3">
      <t>カニュウシャ</t>
    </rPh>
    <phoneticPr fontId="1"/>
  </si>
  <si>
    <t>加入者6</t>
    <rPh sb="0" eb="3">
      <t>カニュウシャ</t>
    </rPh>
    <phoneticPr fontId="1"/>
  </si>
  <si>
    <t>加入者7</t>
    <rPh sb="0" eb="3">
      <t>カニュウシャ</t>
    </rPh>
    <phoneticPr fontId="1"/>
  </si>
  <si>
    <t>加入者8</t>
    <rPh sb="0" eb="3">
      <t>カニュウシャ</t>
    </rPh>
    <phoneticPr fontId="1"/>
  </si>
  <si>
    <t>加入者9</t>
    <rPh sb="0" eb="3">
      <t>カニュウシャ</t>
    </rPh>
    <phoneticPr fontId="1"/>
  </si>
  <si>
    <t>加入者10</t>
    <rPh sb="0" eb="3">
      <t>カニュウシャ</t>
    </rPh>
    <phoneticPr fontId="1"/>
  </si>
  <si>
    <t>以下の項目に対応していません。</t>
    <rPh sb="0" eb="2">
      <t>イカ</t>
    </rPh>
    <rPh sb="3" eb="5">
      <t>コウモク</t>
    </rPh>
    <rPh sb="6" eb="8">
      <t>タイオウ</t>
    </rPh>
    <phoneticPr fontId="1"/>
  </si>
  <si>
    <t>←緑色の部分を選択または入力してください。</t>
    <rPh sb="1" eb="3">
      <t>ミドリイロ</t>
    </rPh>
    <rPh sb="4" eb="6">
      <t>ブブン</t>
    </rPh>
    <rPh sb="7" eb="9">
      <t>センタク</t>
    </rPh>
    <rPh sb="12" eb="14">
      <t>ニュウリョク</t>
    </rPh>
    <phoneticPr fontId="1"/>
  </si>
  <si>
    <t>引くこと</t>
    <phoneticPr fontId="1"/>
  </si>
  <si>
    <t>均等割額</t>
    <rPh sb="0" eb="3">
      <t>キントウワリ</t>
    </rPh>
    <rPh sb="3" eb="4">
      <t>ガク</t>
    </rPh>
    <phoneticPr fontId="1"/>
  </si>
  <si>
    <t>平等割額</t>
    <rPh sb="0" eb="2">
      <t>ビョウドウ</t>
    </rPh>
    <rPh sb="2" eb="3">
      <t>ワリ</t>
    </rPh>
    <rPh sb="3" eb="4">
      <t>ガク</t>
    </rPh>
    <phoneticPr fontId="1"/>
  </si>
  <si>
    <t>税率など</t>
    <rPh sb="0" eb="2">
      <t>ゼイリツ</t>
    </rPh>
    <phoneticPr fontId="1"/>
  </si>
  <si>
    <t>加入する人数</t>
    <rPh sb="0" eb="2">
      <t>カニュウ</t>
    </rPh>
    <rPh sb="4" eb="5">
      <t>ヒト</t>
    </rPh>
    <rPh sb="5" eb="6">
      <t>カズ</t>
    </rPh>
    <phoneticPr fontId="1"/>
  </si>
  <si>
    <t>介護分対象者</t>
    <rPh sb="0" eb="2">
      <t>カイゴ</t>
    </rPh>
    <rPh sb="2" eb="3">
      <t>ブン</t>
    </rPh>
    <rPh sb="3" eb="6">
      <t>タイショウシャ</t>
    </rPh>
    <phoneticPr fontId="1"/>
  </si>
  <si>
    <t>合計課税所得</t>
    <rPh sb="0" eb="2">
      <t>ゴウケイ</t>
    </rPh>
    <rPh sb="2" eb="4">
      <t>カゼイ</t>
    </rPh>
    <rPh sb="4" eb="6">
      <t>ショトク</t>
    </rPh>
    <phoneticPr fontId="1"/>
  </si>
  <si>
    <t>合計（12か月分）</t>
    <rPh sb="0" eb="2">
      <t>ゴウケイ</t>
    </rPh>
    <rPh sb="6" eb="7">
      <t>ゲツ</t>
    </rPh>
    <rPh sb="7" eb="8">
      <t>ブン</t>
    </rPh>
    <phoneticPr fontId="1"/>
  </si>
  <si>
    <t>所得割額</t>
    <rPh sb="0" eb="2">
      <t>ショトク</t>
    </rPh>
    <rPh sb="2" eb="3">
      <t>ワリ</t>
    </rPh>
    <rPh sb="3" eb="4">
      <t>ガク</t>
    </rPh>
    <phoneticPr fontId="1"/>
  </si>
  <si>
    <t>・低所得世帯に対する国民健康保険税の軽減。</t>
    <rPh sb="1" eb="4">
      <t>テイショトク</t>
    </rPh>
    <rPh sb="4" eb="6">
      <t>セタイ</t>
    </rPh>
    <rPh sb="7" eb="8">
      <t>タイ</t>
    </rPh>
    <rPh sb="10" eb="12">
      <t>コクミン</t>
    </rPh>
    <rPh sb="12" eb="14">
      <t>ケンコウ</t>
    </rPh>
    <rPh sb="14" eb="16">
      <t>ホケン</t>
    </rPh>
    <rPh sb="16" eb="17">
      <t>ゼイ</t>
    </rPh>
    <rPh sb="18" eb="20">
      <t>ケイゲン</t>
    </rPh>
    <phoneticPr fontId="1"/>
  </si>
  <si>
    <t>・事業収入があり、専従者に対して給与を出している場合。</t>
    <rPh sb="1" eb="3">
      <t>ジギョウ</t>
    </rPh>
    <rPh sb="3" eb="5">
      <t>シュウニュウ</t>
    </rPh>
    <rPh sb="9" eb="12">
      <t>センジュウシャ</t>
    </rPh>
    <rPh sb="13" eb="14">
      <t>タイ</t>
    </rPh>
    <rPh sb="16" eb="18">
      <t>キュウヨ</t>
    </rPh>
    <rPh sb="19" eb="20">
      <t>ダ</t>
    </rPh>
    <rPh sb="24" eb="26">
      <t>バアイ</t>
    </rPh>
    <phoneticPr fontId="1"/>
  </si>
  <si>
    <t>未就学児</t>
    <rPh sb="0" eb="4">
      <t>ミシュウガクジ</t>
    </rPh>
    <phoneticPr fontId="1"/>
  </si>
  <si>
    <t>加入者全員が1年間加入するものとして計算されます。</t>
    <rPh sb="0" eb="3">
      <t>カニュウシャ</t>
    </rPh>
    <rPh sb="3" eb="5">
      <t>ゼンイン</t>
    </rPh>
    <rPh sb="7" eb="9">
      <t>ネンカン</t>
    </rPh>
    <rPh sb="9" eb="11">
      <t>カニュウ</t>
    </rPh>
    <rPh sb="18" eb="20">
      <t>ケイサン</t>
    </rPh>
    <phoneticPr fontId="1"/>
  </si>
  <si>
    <t>・給与収入が850万円を超え、所得金額調整控除がある場合。</t>
    <rPh sb="1" eb="3">
      <t>キュウヨ</t>
    </rPh>
    <rPh sb="3" eb="5">
      <t>シュウニュウ</t>
    </rPh>
    <rPh sb="9" eb="11">
      <t>マンエン</t>
    </rPh>
    <rPh sb="12" eb="13">
      <t>コ</t>
    </rPh>
    <rPh sb="15" eb="17">
      <t>ショトク</t>
    </rPh>
    <rPh sb="17" eb="19">
      <t>キンガク</t>
    </rPh>
    <rPh sb="19" eb="21">
      <t>チョウセイ</t>
    </rPh>
    <rPh sb="21" eb="23">
      <t>コウジョ</t>
    </rPh>
    <rPh sb="26" eb="28">
      <t>バアイ</t>
    </rPh>
    <phoneticPr fontId="1"/>
  </si>
  <si>
    <t>100円未満切捨</t>
    <rPh sb="3" eb="4">
      <t>エン</t>
    </rPh>
    <rPh sb="4" eb="6">
      <t>ミマン</t>
    </rPh>
    <rPh sb="6" eb="7">
      <t>キ</t>
    </rPh>
    <rPh sb="7" eb="8">
      <t>ス</t>
    </rPh>
    <phoneticPr fontId="1"/>
  </si>
  <si>
    <t>この計算表はあくまで試算です。概算のため、実際の税額と異なる場合があります。</t>
    <rPh sb="2" eb="4">
      <t>ケイサン</t>
    </rPh>
    <rPh sb="4" eb="5">
      <t>ヒョウ</t>
    </rPh>
    <rPh sb="10" eb="12">
      <t>シサン</t>
    </rPh>
    <rPh sb="15" eb="17">
      <t>ガイサン</t>
    </rPh>
    <rPh sb="21" eb="23">
      <t>ジッサイ</t>
    </rPh>
    <rPh sb="24" eb="26">
      <t>ゼイガク</t>
    </rPh>
    <rPh sb="27" eb="28">
      <t>コト</t>
    </rPh>
    <rPh sb="30" eb="32">
      <t>バアイ</t>
    </rPh>
    <phoneticPr fontId="1"/>
  </si>
  <si>
    <t>１か月あたり</t>
    <rPh sb="2" eb="3">
      <t>ゲツ</t>
    </rPh>
    <phoneticPr fontId="1"/>
  </si>
  <si>
    <t>後期高齢者支援金分</t>
    <rPh sb="0" eb="2">
      <t>コウキ</t>
    </rPh>
    <rPh sb="2" eb="5">
      <t>コウレイシャ</t>
    </rPh>
    <rPh sb="5" eb="8">
      <t>シエンキン</t>
    </rPh>
    <rPh sb="8" eb="9">
      <t>ブン</t>
    </rPh>
    <phoneticPr fontId="1"/>
  </si>
  <si>
    <t>介護納付金分</t>
    <rPh sb="0" eb="2">
      <t>カイゴ</t>
    </rPh>
    <rPh sb="2" eb="5">
      <t>ノウフキン</t>
    </rPh>
    <rPh sb="5" eb="6">
      <t>ブン</t>
    </rPh>
    <phoneticPr fontId="1"/>
  </si>
  <si>
    <t>①給与所得</t>
    <rPh sb="1" eb="3">
      <t>キュウヨ</t>
    </rPh>
    <rPh sb="3" eb="5">
      <t>ショトク</t>
    </rPh>
    <phoneticPr fontId="1"/>
  </si>
  <si>
    <t>②年金所得</t>
    <rPh sb="1" eb="3">
      <t>ネンキン</t>
    </rPh>
    <rPh sb="3" eb="5">
      <t>ショトク</t>
    </rPh>
    <phoneticPr fontId="1"/>
  </si>
  <si>
    <t>③営業所得等の
その他所得</t>
    <rPh sb="1" eb="3">
      <t>エイギョウ</t>
    </rPh>
    <rPh sb="3" eb="5">
      <t>ショトク</t>
    </rPh>
    <rPh sb="5" eb="6">
      <t>トウ</t>
    </rPh>
    <rPh sb="10" eb="11">
      <t>タ</t>
    </rPh>
    <rPh sb="11" eb="13">
      <t>ショトク</t>
    </rPh>
    <phoneticPr fontId="2"/>
  </si>
  <si>
    <t>⑤基礎控除</t>
    <rPh sb="1" eb="3">
      <t>キソ</t>
    </rPh>
    <rPh sb="3" eb="5">
      <t>コウジョ</t>
    </rPh>
    <phoneticPr fontId="2"/>
  </si>
  <si>
    <t>課税所得額
（①+②+③-④-⑤）</t>
    <rPh sb="0" eb="2">
      <t>カゼイ</t>
    </rPh>
    <rPh sb="2" eb="4">
      <t>ショトク</t>
    </rPh>
    <rPh sb="4" eb="5">
      <t>ガク</t>
    </rPh>
    <phoneticPr fontId="2"/>
  </si>
  <si>
    <t>④所得金額調整控除</t>
    <rPh sb="1" eb="3">
      <t>ショトク</t>
    </rPh>
    <rPh sb="3" eb="5">
      <t>キンガク</t>
    </rPh>
    <rPh sb="5" eb="7">
      <t>チョウセイ</t>
    </rPh>
    <rPh sb="7" eb="9">
      <t>コウジョ</t>
    </rPh>
    <phoneticPr fontId="1"/>
  </si>
  <si>
    <t>（介護納付金分が課税されます）</t>
    <rPh sb="1" eb="3">
      <t>カイゴ</t>
    </rPh>
    <rPh sb="3" eb="6">
      <t>ノウフキン</t>
    </rPh>
    <rPh sb="6" eb="7">
      <t>ブン</t>
    </rPh>
    <rPh sb="8" eb="10">
      <t>カゼイ</t>
    </rPh>
    <phoneticPr fontId="1"/>
  </si>
  <si>
    <t>後期高齢者支援金分</t>
    <phoneticPr fontId="1"/>
  </si>
  <si>
    <t>※65歳以上の方には、国民健康保険税とは別に</t>
    <rPh sb="3" eb="6">
      <t>サイイジョウ</t>
    </rPh>
    <rPh sb="7" eb="8">
      <t>カタ</t>
    </rPh>
    <rPh sb="11" eb="13">
      <t>コクミン</t>
    </rPh>
    <rPh sb="13" eb="15">
      <t>ケンコウ</t>
    </rPh>
    <rPh sb="15" eb="17">
      <t>ホケン</t>
    </rPh>
    <rPh sb="17" eb="18">
      <t>ゼイ</t>
    </rPh>
    <rPh sb="20" eb="21">
      <t>ベツ</t>
    </rPh>
    <phoneticPr fontId="1"/>
  </si>
  <si>
    <t>　介護保険料が個人あてにかかります。</t>
    <phoneticPr fontId="1"/>
  </si>
  <si>
    <t>・加入する人が、4月から翌3月の間に40歳または65歳になる。</t>
    <rPh sb="1" eb="3">
      <t>カニュウ</t>
    </rPh>
    <rPh sb="5" eb="6">
      <t>ヒト</t>
    </rPh>
    <rPh sb="9" eb="10">
      <t>ガツ</t>
    </rPh>
    <rPh sb="12" eb="13">
      <t>ヨク</t>
    </rPh>
    <rPh sb="14" eb="15">
      <t>ガツ</t>
    </rPh>
    <rPh sb="16" eb="17">
      <t>アイダ</t>
    </rPh>
    <rPh sb="20" eb="21">
      <t>サイ</t>
    </rPh>
    <rPh sb="26" eb="27">
      <t>サイ</t>
    </rPh>
    <phoneticPr fontId="1"/>
  </si>
  <si>
    <t>（介護納付金分の計算に影響します。）</t>
    <phoneticPr fontId="1"/>
  </si>
  <si>
    <r>
      <t>【加入する人の情報】</t>
    </r>
    <r>
      <rPr>
        <sz val="14"/>
        <color theme="1"/>
        <rFont val="BIZ UDPゴシック"/>
        <family val="3"/>
        <charset val="128"/>
      </rPr>
      <t>収入が無くても、加入者の年齢を選択してください。</t>
    </r>
    <rPh sb="1" eb="3">
      <t>カニュウ</t>
    </rPh>
    <rPh sb="5" eb="6">
      <t>ヒト</t>
    </rPh>
    <rPh sb="7" eb="9">
      <t>ジョウホウ</t>
    </rPh>
    <rPh sb="10" eb="12">
      <t>シュウニュウ</t>
    </rPh>
    <rPh sb="13" eb="14">
      <t>ナ</t>
    </rPh>
    <rPh sb="18" eb="21">
      <t>カニュウシャ</t>
    </rPh>
    <rPh sb="22" eb="24">
      <t>ネンレイ</t>
    </rPh>
    <rPh sb="25" eb="27">
      <t>センタク</t>
    </rPh>
    <phoneticPr fontId="1"/>
  </si>
  <si>
    <t>【計算の過程】</t>
    <phoneticPr fontId="1"/>
  </si>
  <si>
    <t>「★試算★」シートに入力した内容が表示されます。加入者全員が1年間加入するものとして計算されます。</t>
    <rPh sb="2" eb="4">
      <t>シサン</t>
    </rPh>
    <rPh sb="10" eb="12">
      <t>ニュウリョク</t>
    </rPh>
    <rPh sb="14" eb="16">
      <t>ナイヨウ</t>
    </rPh>
    <rPh sb="17" eb="19">
      <t>ヒョウジ</t>
    </rPh>
    <phoneticPr fontId="1"/>
  </si>
  <si>
    <t>課税所得額の世帯合計</t>
    <rPh sb="0" eb="2">
      <t>カゼイ</t>
    </rPh>
    <rPh sb="2" eb="4">
      <t>ショトク</t>
    </rPh>
    <rPh sb="4" eb="5">
      <t>ガク</t>
    </rPh>
    <rPh sb="6" eb="8">
      <t>セタイ</t>
    </rPh>
    <rPh sb="8" eb="10">
      <t>ゴウケイ</t>
    </rPh>
    <phoneticPr fontId="1"/>
  </si>
  <si>
    <t>×</t>
    <phoneticPr fontId="1"/>
  </si>
  <si>
    <t>=</t>
    <phoneticPr fontId="1"/>
  </si>
  <si>
    <t>①所得割（小数点以下切り捨て）</t>
    <rPh sb="1" eb="3">
      <t>ショトク</t>
    </rPh>
    <rPh sb="3" eb="4">
      <t>ワリ</t>
    </rPh>
    <rPh sb="5" eb="8">
      <t>ショウスウテン</t>
    </rPh>
    <rPh sb="8" eb="10">
      <t>イカ</t>
    </rPh>
    <rPh sb="10" eb="11">
      <t>キ</t>
    </rPh>
    <rPh sb="12" eb="13">
      <t>ス</t>
    </rPh>
    <phoneticPr fontId="1"/>
  </si>
  <si>
    <t>②均等割</t>
    <rPh sb="1" eb="4">
      <t>キントウワ</t>
    </rPh>
    <phoneticPr fontId="1"/>
  </si>
  <si>
    <t>均等割額</t>
    <rPh sb="0" eb="3">
      <t>キントウワ</t>
    </rPh>
    <rPh sb="3" eb="4">
      <t>ガク</t>
    </rPh>
    <phoneticPr fontId="1"/>
  </si>
  <si>
    <t>均等割額÷２</t>
    <rPh sb="0" eb="3">
      <t>キントウワ</t>
    </rPh>
    <rPh sb="3" eb="4">
      <t>ガク</t>
    </rPh>
    <phoneticPr fontId="1"/>
  </si>
  <si>
    <t>＋</t>
    <phoneticPr fontId="1"/>
  </si>
  <si>
    <t>③平等割</t>
    <rPh sb="1" eb="3">
      <t>ビョウドウ</t>
    </rPh>
    <rPh sb="3" eb="4">
      <t>ワリ</t>
    </rPh>
    <phoneticPr fontId="1"/>
  </si>
  <si>
    <t>1世帯につき</t>
    <rPh sb="1" eb="3">
      <t>セタイ</t>
    </rPh>
    <phoneticPr fontId="1"/>
  </si>
  <si>
    <t>＝</t>
    <phoneticPr fontId="1"/>
  </si>
  <si>
    <t>40歳から64歳までの人数</t>
    <rPh sb="2" eb="3">
      <t>サイ</t>
    </rPh>
    <rPh sb="7" eb="8">
      <t>サイ</t>
    </rPh>
    <rPh sb="11" eb="13">
      <t>ニンズウ</t>
    </rPh>
    <phoneticPr fontId="1"/>
  </si>
  <si>
    <t>未就学児以外の人数</t>
    <rPh sb="0" eb="4">
      <t>ミシュウガクジ</t>
    </rPh>
    <rPh sb="4" eb="6">
      <t>イガイ</t>
    </rPh>
    <rPh sb="7" eb="8">
      <t>ヒト</t>
    </rPh>
    <rPh sb="8" eb="9">
      <t>カズ</t>
    </rPh>
    <phoneticPr fontId="1"/>
  </si>
  <si>
    <t>未就学児の人数</t>
    <rPh sb="0" eb="4">
      <t>ミシュウガクジ</t>
    </rPh>
    <rPh sb="5" eb="6">
      <t>ヒト</t>
    </rPh>
    <rPh sb="6" eb="7">
      <t>カズ</t>
    </rPh>
    <phoneticPr fontId="1"/>
  </si>
  <si>
    <t>40歳から64歳までの加入者が1人以上いる世帯</t>
    <rPh sb="21" eb="23">
      <t>セタイ</t>
    </rPh>
    <phoneticPr fontId="1"/>
  </si>
  <si>
    <t>■ 後期高齢者支援金分</t>
    <rPh sb="2" eb="4">
      <t>コウキ</t>
    </rPh>
    <rPh sb="4" eb="7">
      <t>コウレイシャ</t>
    </rPh>
    <rPh sb="7" eb="9">
      <t>シエン</t>
    </rPh>
    <rPh sb="9" eb="10">
      <t>キン</t>
    </rPh>
    <rPh sb="10" eb="11">
      <t>ブン</t>
    </rPh>
    <phoneticPr fontId="1"/>
  </si>
  <si>
    <t>■ 医療分</t>
    <rPh sb="2" eb="4">
      <t>イリョウ</t>
    </rPh>
    <rPh sb="4" eb="5">
      <t>ブン</t>
    </rPh>
    <phoneticPr fontId="1"/>
  </si>
  <si>
    <t>■ 介護納付金分</t>
    <rPh sb="2" eb="4">
      <t>カイゴ</t>
    </rPh>
    <rPh sb="4" eb="7">
      <t>ノウフキン</t>
    </rPh>
    <rPh sb="7" eb="8">
      <t>ブン</t>
    </rPh>
    <phoneticPr fontId="1"/>
  </si>
  <si>
    <t>以上の条件で、税額を計算します。</t>
    <rPh sb="0" eb="2">
      <t>イジョウ</t>
    </rPh>
    <rPh sb="3" eb="5">
      <t>ジョウケン</t>
    </rPh>
    <rPh sb="7" eb="9">
      <t>ゼイガク</t>
    </rPh>
    <rPh sb="10" eb="12">
      <t>ケイサン</t>
    </rPh>
    <phoneticPr fontId="1"/>
  </si>
  <si>
    <t>■合計（12か月分）</t>
    <rPh sb="1" eb="3">
      <t>ゴウケイ</t>
    </rPh>
    <rPh sb="7" eb="8">
      <t>ゲツ</t>
    </rPh>
    <rPh sb="8" eb="9">
      <t>ブン</t>
    </rPh>
    <phoneticPr fontId="1"/>
  </si>
  <si>
    <t>対象者の所得合計</t>
    <rPh sb="0" eb="3">
      <t>タイショウシャ</t>
    </rPh>
    <rPh sb="4" eb="6">
      <t>ショトク</t>
    </rPh>
    <rPh sb="6" eb="8">
      <t>ゴウケイ</t>
    </rPh>
    <phoneticPr fontId="1"/>
  </si>
  <si>
    <t>・加入者が年度内に75歳になる。</t>
    <rPh sb="1" eb="3">
      <t>カニュウ</t>
    </rPh>
    <rPh sb="3" eb="4">
      <t>シャ</t>
    </rPh>
    <rPh sb="5" eb="8">
      <t>ネンドナイ</t>
    </rPh>
    <rPh sb="11" eb="12">
      <t>サイ</t>
    </rPh>
    <phoneticPr fontId="1"/>
  </si>
  <si>
    <t>40～64歳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</si>
</sst>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176" formatCode="#,##0\ &quot;円&quot;"/>
    <numFmt numFmtId="177" formatCode="#,##0_ "/>
    <numFmt numFmtId="178" formatCode="#,###&quot;円&quot;"/>
    <numFmt numFmtId="179" formatCode="0.0%"/>
    <numFmt numFmtId="180" formatCode="#&quot;人&quot;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rgb="FF0000FF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4"/>
      <color rgb="FF0000FF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14"/>
      <color theme="0"/>
      <name val="BIZ UDPゴシック"/>
      <family val="3"/>
      <charset val="128"/>
    </font>
    <font>
      <b/>
      <sz val="24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DFFC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8C8FF"/>
        <bgColor indexed="64"/>
      </patternFill>
    </fill>
    <fill>
      <patternFill patternType="solid">
        <fgColor rgb="FFFFC8C8"/>
        <bgColor indexed="64"/>
      </patternFill>
    </fill>
    <fill>
      <patternFill patternType="solid">
        <fgColor rgb="FFC8FFC8"/>
        <bgColor indexed="64"/>
      </patternFill>
    </fill>
    <fill>
      <patternFill patternType="solid">
        <fgColor rgb="FFFFFF64"/>
        <bgColor indexed="64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7" fillId="3" borderId="30" applyNumberFormat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38" fontId="0" fillId="0" borderId="0" xfId="1" applyFont="1" applyBorder="1" applyAlignment="1">
      <alignment vertical="center" shrinkToFit="1"/>
    </xf>
    <xf numFmtId="38" fontId="0" fillId="0" borderId="22" xfId="1" applyFont="1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4" fillId="0" borderId="0" xfId="2" applyBorder="1" applyAlignment="1">
      <alignment shrinkToFit="1"/>
    </xf>
    <xf numFmtId="38" fontId="4" fillId="0" borderId="0" xfId="1" applyFont="1" applyBorder="1" applyAlignment="1">
      <alignment shrinkToFit="1"/>
    </xf>
    <xf numFmtId="0" fontId="4" fillId="0" borderId="16" xfId="2" applyBorder="1" applyAlignment="1">
      <alignment shrinkToFit="1"/>
    </xf>
    <xf numFmtId="38" fontId="0" fillId="0" borderId="0" xfId="1" applyFont="1" applyAlignment="1">
      <alignment vertical="center" shrinkToFit="1"/>
    </xf>
    <xf numFmtId="38" fontId="4" fillId="0" borderId="16" xfId="1" applyFont="1" applyBorder="1" applyAlignment="1">
      <alignment shrinkToFit="1"/>
    </xf>
    <xf numFmtId="38" fontId="0" fillId="0" borderId="27" xfId="1" applyFont="1" applyBorder="1" applyAlignment="1">
      <alignment vertical="center" shrinkToFit="1"/>
    </xf>
    <xf numFmtId="0" fontId="0" fillId="2" borderId="24" xfId="0" applyFill="1" applyBorder="1" applyAlignment="1">
      <alignment vertical="center" shrinkToFit="1"/>
    </xf>
    <xf numFmtId="38" fontId="0" fillId="2" borderId="24" xfId="1" applyFont="1" applyFill="1" applyBorder="1" applyAlignment="1">
      <alignment vertical="center" shrinkToFit="1"/>
    </xf>
    <xf numFmtId="38" fontId="0" fillId="2" borderId="25" xfId="1" applyFont="1" applyFill="1" applyBorder="1" applyAlignment="1">
      <alignment vertical="center" shrinkToFit="1"/>
    </xf>
    <xf numFmtId="0" fontId="0" fillId="2" borderId="26" xfId="0" applyFill="1" applyBorder="1" applyAlignment="1">
      <alignment vertical="center" shrinkToFit="1"/>
    </xf>
    <xf numFmtId="0" fontId="0" fillId="2" borderId="0" xfId="0" applyFill="1" applyBorder="1" applyAlignment="1">
      <alignment vertical="center" shrinkToFit="1"/>
    </xf>
    <xf numFmtId="38" fontId="0" fillId="2" borderId="0" xfId="1" applyFont="1" applyFill="1" applyBorder="1" applyAlignment="1">
      <alignment vertical="center" shrinkToFit="1"/>
    </xf>
    <xf numFmtId="38" fontId="0" fillId="2" borderId="22" xfId="1" applyFont="1" applyFill="1" applyBorder="1" applyAlignment="1">
      <alignment vertical="center" shrinkToFit="1"/>
    </xf>
    <xf numFmtId="0" fontId="0" fillId="2" borderId="19" xfId="0" applyFill="1" applyBorder="1" applyAlignment="1">
      <alignment vertical="center" shrinkToFit="1"/>
    </xf>
    <xf numFmtId="0" fontId="0" fillId="2" borderId="16" xfId="0" applyFill="1" applyBorder="1" applyAlignment="1">
      <alignment vertical="center" shrinkToFit="1"/>
    </xf>
    <xf numFmtId="0" fontId="0" fillId="2" borderId="27" xfId="0" applyFill="1" applyBorder="1" applyAlignment="1">
      <alignment vertical="center" shrinkToFit="1"/>
    </xf>
    <xf numFmtId="0" fontId="4" fillId="2" borderId="26" xfId="2" applyFill="1" applyBorder="1" applyAlignment="1">
      <alignment shrinkToFit="1"/>
    </xf>
    <xf numFmtId="0" fontId="4" fillId="2" borderId="19" xfId="2" applyFill="1" applyBorder="1" applyAlignment="1">
      <alignment shrinkToFit="1"/>
    </xf>
    <xf numFmtId="0" fontId="0" fillId="2" borderId="25" xfId="0" applyFill="1" applyBorder="1" applyAlignment="1">
      <alignment vertical="center" shrinkToFit="1"/>
    </xf>
    <xf numFmtId="0" fontId="6" fillId="2" borderId="23" xfId="0" applyFont="1" applyFill="1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177" fontId="0" fillId="0" borderId="0" xfId="0" applyNumberFormat="1" applyAlignment="1">
      <alignment vertical="center" shrinkToFit="1"/>
    </xf>
    <xf numFmtId="177" fontId="0" fillId="0" borderId="0" xfId="0" applyNumberFormat="1" applyFill="1" applyAlignment="1">
      <alignment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38" fontId="4" fillId="0" borderId="0" xfId="1" applyFont="1" applyBorder="1" applyAlignment="1">
      <alignment horizontal="center" shrinkToFit="1"/>
    </xf>
    <xf numFmtId="0" fontId="6" fillId="0" borderId="0" xfId="0" applyFont="1" applyAlignment="1">
      <alignment vertical="center" shrinkToFit="1"/>
    </xf>
    <xf numFmtId="38" fontId="6" fillId="0" borderId="0" xfId="0" applyNumberFormat="1" applyFont="1" applyAlignment="1">
      <alignment vertical="center" shrinkToFit="1"/>
    </xf>
    <xf numFmtId="0" fontId="4" fillId="2" borderId="23" xfId="2" applyFill="1" applyBorder="1" applyAlignment="1">
      <alignment shrinkToFit="1"/>
    </xf>
    <xf numFmtId="0" fontId="4" fillId="2" borderId="24" xfId="2" applyFill="1" applyBorder="1" applyAlignment="1">
      <alignment shrinkToFit="1"/>
    </xf>
    <xf numFmtId="42" fontId="4" fillId="2" borderId="24" xfId="2" applyNumberFormat="1" applyFill="1" applyBorder="1" applyAlignment="1">
      <alignment shrinkToFit="1"/>
    </xf>
    <xf numFmtId="38" fontId="6" fillId="0" borderId="0" xfId="0" applyNumberFormat="1" applyFont="1" applyFill="1" applyAlignment="1">
      <alignment vertical="center" shrinkToFit="1"/>
    </xf>
    <xf numFmtId="0" fontId="8" fillId="0" borderId="0" xfId="0" applyFont="1">
      <alignment vertical="center"/>
    </xf>
    <xf numFmtId="0" fontId="9" fillId="4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9" fillId="0" borderId="0" xfId="0" applyFont="1" applyAlignme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left" vertical="center"/>
    </xf>
    <xf numFmtId="179" fontId="8" fillId="0" borderId="1" xfId="5" applyNumberFormat="1" applyFont="1" applyBorder="1">
      <alignment vertical="center"/>
    </xf>
    <xf numFmtId="179" fontId="8" fillId="0" borderId="6" xfId="5" applyNumberFormat="1" applyFont="1" applyBorder="1">
      <alignment vertical="center"/>
    </xf>
    <xf numFmtId="178" fontId="8" fillId="0" borderId="1" xfId="1" applyNumberFormat="1" applyFont="1" applyBorder="1">
      <alignment vertical="center"/>
    </xf>
    <xf numFmtId="178" fontId="8" fillId="0" borderId="6" xfId="1" applyNumberFormat="1" applyFont="1" applyBorder="1">
      <alignment vertical="center"/>
    </xf>
    <xf numFmtId="0" fontId="13" fillId="3" borderId="30" xfId="4" applyFont="1">
      <alignment vertical="center"/>
    </xf>
    <xf numFmtId="0" fontId="8" fillId="2" borderId="7" xfId="0" applyFont="1" applyFill="1" applyBorder="1" applyAlignment="1">
      <alignment horizontal="left" vertical="center"/>
    </xf>
    <xf numFmtId="178" fontId="8" fillId="0" borderId="10" xfId="1" applyNumberFormat="1" applyFont="1" applyBorder="1">
      <alignment vertical="center"/>
    </xf>
    <xf numFmtId="178" fontId="8" fillId="0" borderId="8" xfId="1" applyNumberFormat="1" applyFont="1" applyBorder="1">
      <alignment vertical="center"/>
    </xf>
    <xf numFmtId="0" fontId="9" fillId="0" borderId="0" xfId="0" applyFont="1" applyAlignment="1">
      <alignment horizontal="left" vertical="top"/>
    </xf>
    <xf numFmtId="0" fontId="14" fillId="2" borderId="11" xfId="0" applyFont="1" applyFill="1" applyBorder="1" applyAlignment="1" applyProtection="1">
      <alignment horizontal="center" vertical="center"/>
    </xf>
    <xf numFmtId="0" fontId="14" fillId="2" borderId="17" xfId="0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 applyProtection="1">
      <alignment horizontal="center" vertical="center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 applyProtection="1">
      <alignment horizontal="center" vertical="center"/>
    </xf>
    <xf numFmtId="0" fontId="15" fillId="2" borderId="34" xfId="0" applyFont="1" applyFill="1" applyBorder="1" applyAlignment="1" applyProtection="1">
      <alignment horizontal="center" vertical="center" wrapText="1"/>
    </xf>
    <xf numFmtId="0" fontId="14" fillId="0" borderId="0" xfId="0" applyFont="1">
      <alignment vertical="center"/>
    </xf>
    <xf numFmtId="0" fontId="16" fillId="0" borderId="18" xfId="0" applyFont="1" applyFill="1" applyBorder="1" applyAlignment="1" applyProtection="1">
      <alignment horizontal="center" vertical="center"/>
    </xf>
    <xf numFmtId="0" fontId="13" fillId="3" borderId="30" xfId="4" applyFont="1" applyAlignment="1" applyProtection="1">
      <alignment horizontal="center" vertical="center" shrinkToFit="1"/>
      <protection locked="0"/>
    </xf>
    <xf numFmtId="0" fontId="17" fillId="0" borderId="0" xfId="0" applyFont="1">
      <alignment vertical="center"/>
    </xf>
    <xf numFmtId="1" fontId="8" fillId="0" borderId="0" xfId="0" applyNumberFormat="1" applyFont="1">
      <alignment vertical="center"/>
    </xf>
    <xf numFmtId="0" fontId="13" fillId="3" borderId="30" xfId="4" applyFont="1" applyAlignment="1" applyProtection="1">
      <alignment horizontal="center" vertical="center"/>
      <protection locked="0"/>
    </xf>
    <xf numFmtId="0" fontId="8" fillId="0" borderId="32" xfId="0" applyFont="1" applyBorder="1" applyProtection="1">
      <alignment vertical="center"/>
    </xf>
    <xf numFmtId="0" fontId="17" fillId="0" borderId="33" xfId="0" applyFont="1" applyBorder="1" applyAlignment="1">
      <alignment horizontal="center" vertical="center"/>
    </xf>
    <xf numFmtId="0" fontId="8" fillId="0" borderId="33" xfId="0" applyFont="1" applyBorder="1">
      <alignment vertical="center"/>
    </xf>
    <xf numFmtId="0" fontId="8" fillId="0" borderId="16" xfId="0" applyFont="1" applyBorder="1">
      <alignment vertical="center"/>
    </xf>
    <xf numFmtId="176" fontId="8" fillId="0" borderId="31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2" borderId="3" xfId="0" applyFont="1" applyFill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2" borderId="5" xfId="0" applyFont="1" applyFill="1" applyBorder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2" borderId="36" xfId="0" applyFont="1" applyFill="1" applyBorder="1">
      <alignment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9" fillId="2" borderId="38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0" fontId="8" fillId="2" borderId="37" xfId="0" applyFont="1" applyFill="1" applyBorder="1">
      <alignment vertical="center"/>
    </xf>
    <xf numFmtId="0" fontId="8" fillId="0" borderId="0" xfId="0" applyFont="1" applyAlignment="1">
      <alignment horizontal="left" vertical="center" indent="5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vertical="center"/>
    </xf>
    <xf numFmtId="0" fontId="8" fillId="2" borderId="43" xfId="0" applyFont="1" applyFill="1" applyBorder="1" applyAlignment="1">
      <alignment vertical="center"/>
    </xf>
    <xf numFmtId="0" fontId="8" fillId="2" borderId="44" xfId="0" applyFont="1" applyFill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8" fillId="0" borderId="42" xfId="0" applyFont="1" applyFill="1" applyBorder="1" applyAlignment="1">
      <alignment vertical="center"/>
    </xf>
    <xf numFmtId="0" fontId="8" fillId="0" borderId="43" xfId="0" applyFont="1" applyFill="1" applyBorder="1" applyAlignment="1">
      <alignment vertical="center"/>
    </xf>
    <xf numFmtId="0" fontId="8" fillId="0" borderId="44" xfId="0" applyFont="1" applyFill="1" applyBorder="1" applyAlignment="1">
      <alignment vertical="center"/>
    </xf>
    <xf numFmtId="0" fontId="19" fillId="0" borderId="45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8" fillId="0" borderId="46" xfId="0" applyFont="1" applyFill="1" applyBorder="1" applyAlignment="1">
      <alignment vertical="center"/>
    </xf>
    <xf numFmtId="38" fontId="8" fillId="0" borderId="45" xfId="1" applyFont="1" applyFill="1" applyBorder="1" applyAlignment="1">
      <alignment vertical="center"/>
    </xf>
    <xf numFmtId="38" fontId="8" fillId="0" borderId="46" xfId="1" applyFont="1" applyFill="1" applyBorder="1" applyAlignment="1">
      <alignment vertical="center"/>
    </xf>
    <xf numFmtId="0" fontId="8" fillId="0" borderId="45" xfId="0" applyFont="1" applyFill="1" applyBorder="1" applyAlignment="1">
      <alignment vertical="center"/>
    </xf>
    <xf numFmtId="180" fontId="8" fillId="0" borderId="0" xfId="0" applyNumberFormat="1" applyFont="1" applyFill="1" applyBorder="1" applyAlignment="1">
      <alignment horizontal="center" vertical="center"/>
    </xf>
    <xf numFmtId="38" fontId="8" fillId="0" borderId="45" xfId="0" applyNumberFormat="1" applyFont="1" applyFill="1" applyBorder="1" applyAlignment="1">
      <alignment vertical="center"/>
    </xf>
    <xf numFmtId="38" fontId="8" fillId="0" borderId="0" xfId="0" applyNumberFormat="1" applyFont="1" applyFill="1" applyBorder="1" applyAlignment="1">
      <alignment horizontal="right" vertical="center"/>
    </xf>
    <xf numFmtId="38" fontId="8" fillId="0" borderId="46" xfId="0" applyNumberFormat="1" applyFont="1" applyFill="1" applyBorder="1" applyAlignment="1">
      <alignment vertical="center"/>
    </xf>
    <xf numFmtId="0" fontId="8" fillId="0" borderId="47" xfId="0" applyFont="1" applyFill="1" applyBorder="1" applyAlignment="1">
      <alignment vertical="center"/>
    </xf>
    <xf numFmtId="0" fontId="8" fillId="0" borderId="41" xfId="0" applyFont="1" applyFill="1" applyBorder="1" applyAlignment="1">
      <alignment vertical="center"/>
    </xf>
    <xf numFmtId="0" fontId="8" fillId="0" borderId="48" xfId="0" applyFont="1" applyFill="1" applyBorder="1" applyAlignment="1">
      <alignment vertical="center"/>
    </xf>
    <xf numFmtId="38" fontId="8" fillId="2" borderId="46" xfId="1" applyFont="1" applyFill="1" applyBorder="1" applyAlignment="1">
      <alignment vertical="center"/>
    </xf>
    <xf numFmtId="180" fontId="8" fillId="2" borderId="0" xfId="0" applyNumberFormat="1" applyFont="1" applyFill="1" applyBorder="1" applyAlignment="1">
      <alignment horizontal="center" vertical="center"/>
    </xf>
    <xf numFmtId="38" fontId="8" fillId="2" borderId="0" xfId="0" applyNumberFormat="1" applyFont="1" applyFill="1" applyBorder="1" applyAlignment="1">
      <alignment horizontal="right" vertical="center"/>
    </xf>
    <xf numFmtId="38" fontId="8" fillId="2" borderId="45" xfId="0" applyNumberFormat="1" applyFont="1" applyFill="1" applyBorder="1" applyAlignment="1">
      <alignment vertical="center"/>
    </xf>
    <xf numFmtId="38" fontId="8" fillId="2" borderId="45" xfId="1" applyFont="1" applyFill="1" applyBorder="1" applyAlignment="1">
      <alignment vertical="center"/>
    </xf>
    <xf numFmtId="38" fontId="8" fillId="5" borderId="46" xfId="1" applyFont="1" applyFill="1" applyBorder="1" applyAlignment="1">
      <alignment vertical="center"/>
    </xf>
    <xf numFmtId="38" fontId="8" fillId="6" borderId="46" xfId="0" applyNumberFormat="1" applyFont="1" applyFill="1" applyBorder="1" applyAlignment="1">
      <alignment vertical="center"/>
    </xf>
    <xf numFmtId="38" fontId="8" fillId="7" borderId="46" xfId="1" applyFont="1" applyFill="1" applyBorder="1" applyAlignment="1">
      <alignment vertical="center"/>
    </xf>
    <xf numFmtId="38" fontId="8" fillId="8" borderId="48" xfId="0" applyNumberFormat="1" applyFont="1" applyFill="1" applyBorder="1" applyAlignment="1">
      <alignment vertical="center"/>
    </xf>
    <xf numFmtId="38" fontId="8" fillId="6" borderId="46" xfId="1" applyFont="1" applyFill="1" applyBorder="1" applyAlignment="1">
      <alignment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38" fontId="10" fillId="8" borderId="15" xfId="0" applyNumberFormat="1" applyFont="1" applyFill="1" applyBorder="1" applyAlignment="1">
      <alignment vertical="center"/>
    </xf>
    <xf numFmtId="0" fontId="8" fillId="9" borderId="42" xfId="0" applyFont="1" applyFill="1" applyBorder="1" applyAlignment="1">
      <alignment horizontal="left" vertical="center"/>
    </xf>
    <xf numFmtId="0" fontId="9" fillId="9" borderId="43" xfId="0" applyFont="1" applyFill="1" applyBorder="1" applyAlignment="1">
      <alignment vertical="center"/>
    </xf>
    <xf numFmtId="0" fontId="8" fillId="9" borderId="43" xfId="0" applyFont="1" applyFill="1" applyBorder="1" applyAlignment="1">
      <alignment vertical="center"/>
    </xf>
    <xf numFmtId="180" fontId="9" fillId="9" borderId="44" xfId="0" applyNumberFormat="1" applyFont="1" applyFill="1" applyBorder="1" applyAlignment="1">
      <alignment horizontal="right" vertical="center"/>
    </xf>
    <xf numFmtId="0" fontId="8" fillId="0" borderId="45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180" fontId="8" fillId="0" borderId="46" xfId="0" applyNumberFormat="1" applyFont="1" applyBorder="1" applyAlignment="1">
      <alignment horizontal="right" vertical="center"/>
    </xf>
    <xf numFmtId="0" fontId="8" fillId="0" borderId="46" xfId="0" applyFont="1" applyFill="1" applyBorder="1" applyAlignment="1">
      <alignment horizontal="right" vertical="center"/>
    </xf>
    <xf numFmtId="180" fontId="8" fillId="0" borderId="46" xfId="0" applyNumberFormat="1" applyFont="1" applyFill="1" applyBorder="1" applyAlignment="1">
      <alignment horizontal="right" vertical="center"/>
    </xf>
    <xf numFmtId="0" fontId="8" fillId="9" borderId="45" xfId="0" applyFont="1" applyFill="1" applyBorder="1" applyAlignment="1">
      <alignment horizontal="left" vertical="center"/>
    </xf>
    <xf numFmtId="0" fontId="8" fillId="9" borderId="0" xfId="0" applyFont="1" applyFill="1" applyBorder="1" applyAlignment="1">
      <alignment vertical="center"/>
    </xf>
    <xf numFmtId="0" fontId="9" fillId="9" borderId="46" xfId="0" applyFont="1" applyFill="1" applyBorder="1" applyAlignment="1">
      <alignment horizontal="right" vertical="center"/>
    </xf>
    <xf numFmtId="0" fontId="8" fillId="0" borderId="47" xfId="0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right" vertical="center"/>
    </xf>
    <xf numFmtId="179" fontId="8" fillId="2" borderId="0" xfId="5" applyNumberFormat="1" applyFont="1" applyFill="1" applyBorder="1" applyAlignment="1">
      <alignment horizontal="center" vertical="center"/>
    </xf>
    <xf numFmtId="178" fontId="8" fillId="0" borderId="1" xfId="1" applyNumberFormat="1" applyFont="1" applyBorder="1" applyAlignment="1">
      <alignment horizontal="right" vertical="center" shrinkToFit="1"/>
    </xf>
    <xf numFmtId="178" fontId="8" fillId="0" borderId="6" xfId="1" applyNumberFormat="1" applyFont="1" applyBorder="1" applyAlignment="1">
      <alignment horizontal="right" vertical="center" shrinkToFit="1"/>
    </xf>
    <xf numFmtId="176" fontId="13" fillId="3" borderId="30" xfId="4" applyNumberFormat="1" applyFont="1" applyAlignment="1" applyProtection="1">
      <alignment horizontal="right" vertical="center" shrinkToFit="1"/>
      <protection locked="0"/>
    </xf>
    <xf numFmtId="176" fontId="16" fillId="0" borderId="20" xfId="0" applyNumberFormat="1" applyFont="1" applyFill="1" applyBorder="1" applyAlignment="1" applyProtection="1">
      <alignment horizontal="right" vertical="center" shrinkToFit="1"/>
    </xf>
    <xf numFmtId="176" fontId="16" fillId="0" borderId="1" xfId="0" applyNumberFormat="1" applyFont="1" applyFill="1" applyBorder="1" applyAlignment="1" applyProtection="1">
      <alignment horizontal="right" vertical="center" shrinkToFit="1"/>
    </xf>
    <xf numFmtId="176" fontId="16" fillId="0" borderId="2" xfId="0" applyNumberFormat="1" applyFont="1" applyFill="1" applyBorder="1" applyAlignment="1" applyProtection="1">
      <alignment horizontal="right" vertical="center" shrinkToFit="1"/>
    </xf>
    <xf numFmtId="176" fontId="16" fillId="0" borderId="35" xfId="0" applyNumberFormat="1" applyFont="1" applyFill="1" applyBorder="1" applyAlignment="1" applyProtection="1">
      <alignment horizontal="right" vertical="center" shrinkToFit="1"/>
    </xf>
    <xf numFmtId="176" fontId="13" fillId="3" borderId="30" xfId="4" applyNumberFormat="1" applyFont="1" applyAlignment="1" applyProtection="1">
      <alignment horizontal="right" vertical="center"/>
      <protection locked="0"/>
    </xf>
    <xf numFmtId="176" fontId="16" fillId="0" borderId="20" xfId="0" applyNumberFormat="1" applyFont="1" applyFill="1" applyBorder="1" applyAlignment="1" applyProtection="1">
      <alignment horizontal="right" vertical="center"/>
    </xf>
    <xf numFmtId="176" fontId="16" fillId="0" borderId="2" xfId="0" applyNumberFormat="1" applyFont="1" applyFill="1" applyBorder="1" applyAlignment="1" applyProtection="1">
      <alignment horizontal="right" vertical="center"/>
    </xf>
    <xf numFmtId="178" fontId="8" fillId="0" borderId="21" xfId="1" applyNumberFormat="1" applyFont="1" applyBorder="1" applyAlignment="1">
      <alignment horizontal="right" vertical="center" shrinkToFit="1"/>
    </xf>
    <xf numFmtId="178" fontId="8" fillId="0" borderId="12" xfId="1" applyNumberFormat="1" applyFont="1" applyBorder="1" applyAlignment="1">
      <alignment horizontal="right" vertical="center" shrinkToFit="1"/>
    </xf>
    <xf numFmtId="178" fontId="8" fillId="0" borderId="39" xfId="0" applyNumberFormat="1" applyFont="1" applyBorder="1" applyAlignment="1">
      <alignment horizontal="right" vertical="center" shrinkToFit="1"/>
    </xf>
    <xf numFmtId="178" fontId="8" fillId="0" borderId="40" xfId="0" applyNumberFormat="1" applyFont="1" applyBorder="1" applyAlignment="1">
      <alignment horizontal="right" vertical="center" shrinkToFit="1"/>
    </xf>
    <xf numFmtId="178" fontId="8" fillId="0" borderId="28" xfId="0" applyNumberFormat="1" applyFont="1" applyBorder="1" applyAlignment="1">
      <alignment horizontal="right" vertical="center" shrinkToFit="1"/>
    </xf>
    <xf numFmtId="178" fontId="8" fillId="0" borderId="13" xfId="0" applyNumberFormat="1" applyFont="1" applyBorder="1" applyAlignment="1">
      <alignment horizontal="right" vertical="center" shrinkToFit="1"/>
    </xf>
    <xf numFmtId="178" fontId="8" fillId="0" borderId="0" xfId="0" applyNumberFormat="1" applyFont="1" applyAlignment="1">
      <alignment horizontal="right" vertical="center" shrinkToFit="1"/>
    </xf>
    <xf numFmtId="178" fontId="10" fillId="0" borderId="0" xfId="0" applyNumberFormat="1" applyFont="1" applyAlignment="1">
      <alignment horizontal="centerContinuous" vertical="center"/>
    </xf>
    <xf numFmtId="0" fontId="12" fillId="0" borderId="0" xfId="0" applyFont="1" applyAlignment="1">
      <alignment horizontal="left"/>
    </xf>
    <xf numFmtId="178" fontId="18" fillId="0" borderId="26" xfId="1" applyNumberFormat="1" applyFont="1" applyBorder="1" applyAlignment="1">
      <alignment horizontal="center" vertical="center"/>
    </xf>
    <xf numFmtId="178" fontId="18" fillId="0" borderId="22" xfId="1" applyNumberFormat="1" applyFont="1" applyBorder="1" applyAlignment="1">
      <alignment horizontal="center" vertical="center"/>
    </xf>
    <xf numFmtId="178" fontId="18" fillId="0" borderId="19" xfId="1" applyNumberFormat="1" applyFont="1" applyBorder="1" applyAlignment="1">
      <alignment horizontal="center" vertical="center"/>
    </xf>
    <xf numFmtId="178" fontId="18" fillId="0" borderId="27" xfId="1" applyNumberFormat="1" applyFont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shrinkToFit="1"/>
    </xf>
    <xf numFmtId="179" fontId="8" fillId="0" borderId="1" xfId="5" applyNumberFormat="1" applyFont="1" applyBorder="1" applyAlignment="1">
      <alignment horizontal="right" vertical="center" shrinkToFit="1"/>
    </xf>
    <xf numFmtId="178" fontId="8" fillId="0" borderId="1" xfId="1" applyNumberFormat="1" applyFont="1" applyBorder="1" applyAlignment="1">
      <alignment horizontal="right" vertical="center" shrinkToFit="1"/>
    </xf>
    <xf numFmtId="178" fontId="8" fillId="0" borderId="10" xfId="1" applyNumberFormat="1" applyFont="1" applyBorder="1" applyAlignment="1">
      <alignment horizontal="right" vertical="center" shrinkToFit="1"/>
    </xf>
    <xf numFmtId="0" fontId="8" fillId="2" borderId="4" xfId="0" applyFont="1" applyFill="1" applyBorder="1" applyAlignment="1">
      <alignment horizontal="center" vertical="center" shrinkToFit="1"/>
    </xf>
    <xf numFmtId="179" fontId="8" fillId="0" borderId="6" xfId="5" applyNumberFormat="1" applyFont="1" applyBorder="1" applyAlignment="1">
      <alignment horizontal="right" vertical="center" shrinkToFit="1"/>
    </xf>
    <xf numFmtId="178" fontId="8" fillId="0" borderId="6" xfId="1" applyNumberFormat="1" applyFont="1" applyBorder="1" applyAlignment="1">
      <alignment horizontal="right" vertical="center" shrinkToFit="1"/>
    </xf>
    <xf numFmtId="178" fontId="8" fillId="0" borderId="8" xfId="1" applyNumberFormat="1" applyFont="1" applyBorder="1" applyAlignment="1">
      <alignment horizontal="right" vertical="center" shrinkToFit="1"/>
    </xf>
  </cellXfs>
  <cellStyles count="6">
    <cellStyle name="パーセント" xfId="5" builtinId="5"/>
    <cellStyle name="桁区切り" xfId="1" builtinId="6"/>
    <cellStyle name="桁区切り 2" xfId="3" xr:uid="{00000000-0005-0000-0000-000002000000}"/>
    <cellStyle name="入力" xfId="4" builtinId="20" customBuiltin="1"/>
    <cellStyle name="標準" xfId="0" builtinId="0"/>
    <cellStyle name="標準 2" xfId="2" xr:uid="{00000000-0005-0000-0000-000005000000}"/>
  </cellStyles>
  <dxfs count="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99"/>
      <color rgb="FFFFC8C8"/>
      <color rgb="FFFFFF64"/>
      <color rgb="FFC8FFC8"/>
      <color rgb="FFC8C8FF"/>
      <color rgb="FF66CCFF"/>
      <color rgb="FFCDFFCD"/>
      <color rgb="FFCDCC99"/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35</xdr:row>
      <xdr:rowOff>133350</xdr:rowOff>
    </xdr:from>
    <xdr:to>
      <xdr:col>3</xdr:col>
      <xdr:colOff>1019175</xdr:colOff>
      <xdr:row>37</xdr:row>
      <xdr:rowOff>114300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57500" y="9858375"/>
          <a:ext cx="742950" cy="47625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257175</xdr:colOff>
      <xdr:row>35</xdr:row>
      <xdr:rowOff>133350</xdr:rowOff>
    </xdr:from>
    <xdr:to>
      <xdr:col>8</xdr:col>
      <xdr:colOff>1000125</xdr:colOff>
      <xdr:row>37</xdr:row>
      <xdr:rowOff>114300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8791575" y="9858375"/>
          <a:ext cx="742950" cy="47625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11</xdr:col>
      <xdr:colOff>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04107" y="2939143"/>
          <a:ext cx="13117286" cy="0"/>
        </a:xfrm>
        <a:prstGeom prst="line">
          <a:avLst/>
        </a:prstGeom>
        <a:ln w="127000" cmpd="tri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168088</xdr:colOff>
      <xdr:row>1</xdr:row>
      <xdr:rowOff>0</xdr:rowOff>
    </xdr:from>
    <xdr:to>
      <xdr:col>11</xdr:col>
      <xdr:colOff>0</xdr:colOff>
      <xdr:row>1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68088" y="122464"/>
          <a:ext cx="13153305" cy="0"/>
        </a:xfrm>
        <a:prstGeom prst="line">
          <a:avLst/>
        </a:prstGeom>
        <a:ln w="127000" cmpd="tri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914879</xdr:colOff>
      <xdr:row>3</xdr:row>
      <xdr:rowOff>184097</xdr:rowOff>
    </xdr:from>
    <xdr:to>
      <xdr:col>10</xdr:col>
      <xdr:colOff>1409540</xdr:colOff>
      <xdr:row>12</xdr:row>
      <xdr:rowOff>54429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9011129" y="728383"/>
          <a:ext cx="6808375" cy="2387653"/>
        </a:xfrm>
        <a:prstGeom prst="rect">
          <a:avLst/>
        </a:prstGeom>
        <a:solidFill>
          <a:schemeClr val="lt1"/>
        </a:solidFill>
        <a:ln w="381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16000" tIns="36000" rIns="216000" bIns="36000" rtlCol="0" anchor="ctr"/>
        <a:lstStyle/>
        <a:p>
          <a:pPr lvl="0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より詳細に計算したい方や、事業収入がある方、分離課税の所得がある方は、電話にて回答いたします。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lvl="0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必要事項（国保加入者の人数、加入者全員と世帯主の年齢・前年の収入等）をご確認のうえ、国民健康保険課にお問合せください。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lvl="0"/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lvl="0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伊勢崎市役所　健康推進部国民健康保険課　賦課係</a:t>
          </a:r>
        </a:p>
        <a:p>
          <a:pPr lvl="0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℡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0270-27-2736(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直通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</a:p>
        <a:p>
          <a:pPr lvl="0"/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e-mail:kokuho@city.isesaki.lg.jp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136073</xdr:rowOff>
    </xdr:from>
    <xdr:to>
      <xdr:col>10</xdr:col>
      <xdr:colOff>0</xdr:colOff>
      <xdr:row>5</xdr:row>
      <xdr:rowOff>136073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04107" y="1279073"/>
          <a:ext cx="9144000" cy="0"/>
        </a:xfrm>
        <a:prstGeom prst="line">
          <a:avLst/>
        </a:prstGeom>
        <a:ln w="127000" cmpd="tri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168088</xdr:colOff>
      <xdr:row>1</xdr:row>
      <xdr:rowOff>0</xdr:rowOff>
    </xdr:from>
    <xdr:to>
      <xdr:col>10</xdr:col>
      <xdr:colOff>0</xdr:colOff>
      <xdr:row>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68088" y="122464"/>
          <a:ext cx="8962305" cy="0"/>
        </a:xfrm>
        <a:prstGeom prst="line">
          <a:avLst/>
        </a:prstGeom>
        <a:ln w="127000" cmpd="tri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34</xdr:row>
      <xdr:rowOff>0</xdr:rowOff>
    </xdr:from>
    <xdr:to>
      <xdr:col>17</xdr:col>
      <xdr:colOff>1025977</xdr:colOff>
      <xdr:row>37</xdr:row>
      <xdr:rowOff>54427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1307536" y="9729107"/>
          <a:ext cx="4727120" cy="1156606"/>
        </a:xfrm>
        <a:prstGeom prst="rect">
          <a:avLst/>
        </a:prstGeom>
        <a:solidFill>
          <a:schemeClr val="lt1"/>
        </a:solidFill>
        <a:ln w="381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88000" rIns="288000" rtlCol="0" anchor="ctr"/>
        <a:lstStyle/>
        <a:p>
          <a:pPr lvl="0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伊勢崎市役所　健康推進部国民健康保険課　賦課係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lvl="0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℡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0270-27-2736(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直通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</a:p>
        <a:p>
          <a:pPr lvl="0"/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e-mail:kokuho@city.isesaki.lg.jp</a:t>
          </a:r>
        </a:p>
      </xdr:txBody>
    </xdr:sp>
    <xdr:clientData/>
  </xdr:twoCellAnchor>
  <xdr:twoCellAnchor>
    <xdr:from>
      <xdr:col>5</xdr:col>
      <xdr:colOff>0</xdr:colOff>
      <xdr:row>19</xdr:row>
      <xdr:rowOff>1</xdr:rowOff>
    </xdr:from>
    <xdr:to>
      <xdr:col>5</xdr:col>
      <xdr:colOff>517072</xdr:colOff>
      <xdr:row>20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8192750" y="4503965"/>
          <a:ext cx="517072" cy="299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517072</xdr:colOff>
      <xdr:row>26</xdr:row>
      <xdr:rowOff>299356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8192750" y="6599464"/>
          <a:ext cx="517072" cy="299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</a:p>
      </xdr:txBody>
    </xdr:sp>
    <xdr:clientData/>
  </xdr:twoCellAnchor>
  <xdr:twoCellAnchor>
    <xdr:from>
      <xdr:col>5</xdr:col>
      <xdr:colOff>0</xdr:colOff>
      <xdr:row>28</xdr:row>
      <xdr:rowOff>0</xdr:rowOff>
    </xdr:from>
    <xdr:to>
      <xdr:col>5</xdr:col>
      <xdr:colOff>517072</xdr:colOff>
      <xdr:row>29</xdr:row>
      <xdr:rowOff>-1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8192750" y="7198179"/>
          <a:ext cx="517072" cy="299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③</a:t>
          </a: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517072</xdr:colOff>
      <xdr:row>19</xdr:row>
      <xdr:rowOff>299356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4207107" y="4503964"/>
          <a:ext cx="517072" cy="299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④</a:t>
          </a: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517072</xdr:colOff>
      <xdr:row>26</xdr:row>
      <xdr:rowOff>299356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24207107" y="6599464"/>
          <a:ext cx="517072" cy="299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⑤</a:t>
          </a:r>
        </a:p>
      </xdr:txBody>
    </xdr:sp>
    <xdr:clientData/>
  </xdr:twoCellAnchor>
  <xdr:twoCellAnchor>
    <xdr:from>
      <xdr:col>11</xdr:col>
      <xdr:colOff>0</xdr:colOff>
      <xdr:row>28</xdr:row>
      <xdr:rowOff>0</xdr:rowOff>
    </xdr:from>
    <xdr:to>
      <xdr:col>11</xdr:col>
      <xdr:colOff>517072</xdr:colOff>
      <xdr:row>29</xdr:row>
      <xdr:rowOff>-1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24207107" y="7198179"/>
          <a:ext cx="517072" cy="299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⑥</a:t>
          </a:r>
        </a:p>
      </xdr:txBody>
    </xdr:sp>
    <xdr:clientData/>
  </xdr:twoCellAnchor>
  <xdr:twoCellAnchor>
    <xdr:from>
      <xdr:col>17</xdr:col>
      <xdr:colOff>0</xdr:colOff>
      <xdr:row>19</xdr:row>
      <xdr:rowOff>0</xdr:rowOff>
    </xdr:from>
    <xdr:to>
      <xdr:col>17</xdr:col>
      <xdr:colOff>517072</xdr:colOff>
      <xdr:row>19</xdr:row>
      <xdr:rowOff>299356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30221464" y="4503964"/>
          <a:ext cx="517072" cy="299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⑦</a:t>
          </a:r>
        </a:p>
      </xdr:txBody>
    </xdr:sp>
    <xdr:clientData/>
  </xdr:twoCellAnchor>
  <xdr:twoCellAnchor>
    <xdr:from>
      <xdr:col>17</xdr:col>
      <xdr:colOff>0</xdr:colOff>
      <xdr:row>22</xdr:row>
      <xdr:rowOff>0</xdr:rowOff>
    </xdr:from>
    <xdr:to>
      <xdr:col>17</xdr:col>
      <xdr:colOff>517072</xdr:colOff>
      <xdr:row>22</xdr:row>
      <xdr:rowOff>299356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30221464" y="5402036"/>
          <a:ext cx="517072" cy="299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⑧</a:t>
          </a:r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17</xdr:col>
      <xdr:colOff>517072</xdr:colOff>
      <xdr:row>29</xdr:row>
      <xdr:rowOff>-1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30221464" y="7198179"/>
          <a:ext cx="517072" cy="299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⑨</a:t>
          </a:r>
        </a:p>
      </xdr:txBody>
    </xdr:sp>
    <xdr:clientData/>
  </xdr:twoCellAnchor>
  <xdr:twoCellAnchor>
    <xdr:from>
      <xdr:col>12</xdr:col>
      <xdr:colOff>193223</xdr:colOff>
      <xdr:row>13</xdr:row>
      <xdr:rowOff>40820</xdr:rowOff>
    </xdr:from>
    <xdr:to>
      <xdr:col>17</xdr:col>
      <xdr:colOff>1129393</xdr:colOff>
      <xdr:row>16</xdr:row>
      <xdr:rowOff>27215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228616" y="3578677"/>
          <a:ext cx="4909456" cy="585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400" b="0" i="0" u="none" strike="noStrike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※65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歳以上の方には、国民健康保険税とは別に</a:t>
          </a:r>
          <a:endParaRPr lang="en-US" altLang="ja-JP" sz="1400" b="0" i="0" u="none" strike="noStrike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lang="ja-JP" altLang="en-US" sz="1400" b="0" i="0" u="none" strike="noStrike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介護保険料が個人あてにかかります。</a:t>
          </a:r>
          <a:endParaRPr kumimoji="1" lang="ja-JP" altLang="en-US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429214</xdr:colOff>
      <xdr:row>30</xdr:row>
      <xdr:rowOff>59678</xdr:rowOff>
    </xdr:from>
    <xdr:to>
      <xdr:col>3</xdr:col>
      <xdr:colOff>1149214</xdr:colOff>
      <xdr:row>30</xdr:row>
      <xdr:rowOff>239678</xdr:rowOff>
    </xdr:to>
    <xdr:sp macro="" textlink="">
      <xdr:nvSpPr>
        <xdr:cNvPr id="18" name="フローチャート: 組合せ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2483893" y="8686607"/>
          <a:ext cx="720000" cy="180000"/>
        </a:xfrm>
        <a:prstGeom prst="flowChartMerge">
          <a:avLst/>
        </a:prstGeom>
        <a:solidFill>
          <a:schemeClr val="tx1"/>
        </a:solidFill>
        <a:ln w="2857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429214</xdr:colOff>
      <xdr:row>30</xdr:row>
      <xdr:rowOff>59678</xdr:rowOff>
    </xdr:from>
    <xdr:to>
      <xdr:col>9</xdr:col>
      <xdr:colOff>1149214</xdr:colOff>
      <xdr:row>30</xdr:row>
      <xdr:rowOff>239678</xdr:rowOff>
    </xdr:to>
    <xdr:sp macro="" textlink="">
      <xdr:nvSpPr>
        <xdr:cNvPr id="29" name="フローチャート: 組合せ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8035607" y="8686607"/>
          <a:ext cx="720000" cy="180000"/>
        </a:xfrm>
        <a:prstGeom prst="flowChartMerge">
          <a:avLst/>
        </a:prstGeom>
        <a:solidFill>
          <a:schemeClr val="tx1"/>
        </a:solidFill>
        <a:ln w="2857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429215</xdr:colOff>
      <xdr:row>30</xdr:row>
      <xdr:rowOff>59678</xdr:rowOff>
    </xdr:from>
    <xdr:to>
      <xdr:col>15</xdr:col>
      <xdr:colOff>1149215</xdr:colOff>
      <xdr:row>30</xdr:row>
      <xdr:rowOff>239678</xdr:rowOff>
    </xdr:to>
    <xdr:sp macro="" textlink="">
      <xdr:nvSpPr>
        <xdr:cNvPr id="31" name="フローチャート: 組合せ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13587322" y="8686607"/>
          <a:ext cx="720000" cy="180000"/>
        </a:xfrm>
        <a:prstGeom prst="flowChartMerge">
          <a:avLst/>
        </a:prstGeom>
        <a:solidFill>
          <a:schemeClr val="tx1"/>
        </a:solidFill>
        <a:ln w="2857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M43"/>
  <sheetViews>
    <sheetView showGridLines="0" tabSelected="1" zoomScale="70" zoomScaleNormal="70" zoomScaleSheetLayoutView="70" workbookViewId="0">
      <selection activeCell="D28" sqref="D28"/>
    </sheetView>
  </sheetViews>
  <sheetFormatPr defaultColWidth="9" defaultRowHeight="16" x14ac:dyDescent="0.55000000000000004"/>
  <cols>
    <col min="1" max="1" width="2.58203125" style="40" customWidth="1"/>
    <col min="2" max="11" width="20.58203125" style="40" customWidth="1"/>
    <col min="12" max="12" width="5.58203125" style="40" customWidth="1"/>
    <col min="13" max="13" width="9" style="40" customWidth="1"/>
    <col min="14" max="14" width="10.08203125" style="40" bestFit="1" customWidth="1"/>
    <col min="15" max="16384" width="9" style="40"/>
  </cols>
  <sheetData>
    <row r="1" spans="2:3" ht="10" customHeight="1" x14ac:dyDescent="0.55000000000000004"/>
    <row r="2" spans="2:3" ht="10" customHeight="1" x14ac:dyDescent="0.55000000000000004"/>
    <row r="3" spans="2:3" ht="24" customHeight="1" x14ac:dyDescent="0.55000000000000004">
      <c r="B3" s="41">
        <v>2025</v>
      </c>
      <c r="C3" s="42" t="str">
        <f>TEXT(年度&amp;"/1/1","ggge年")&amp;"4月1日から"&amp;TEXT(年度+1&amp;"/1/1","ggge年")&amp;"3月31日までの加入期間に対する試算ができます。"</f>
        <v>令和7年4月1日から令和8年3月31日までの加入期間に対する試算ができます。</v>
      </c>
    </row>
    <row r="4" spans="2:3" ht="24" customHeight="1" x14ac:dyDescent="0.55000000000000004">
      <c r="B4" s="43" t="s">
        <v>44</v>
      </c>
    </row>
    <row r="5" spans="2:3" ht="24" customHeight="1" x14ac:dyDescent="0.55000000000000004">
      <c r="B5" s="44" t="s">
        <v>73</v>
      </c>
    </row>
    <row r="6" spans="2:3" ht="24" customHeight="1" x14ac:dyDescent="0.55000000000000004">
      <c r="B6" s="45" t="s">
        <v>70</v>
      </c>
    </row>
    <row r="7" spans="2:3" ht="3" customHeight="1" x14ac:dyDescent="0.55000000000000004">
      <c r="B7" s="45"/>
    </row>
    <row r="8" spans="2:3" ht="24" customHeight="1" x14ac:dyDescent="0.55000000000000004">
      <c r="B8" s="46" t="s">
        <v>56</v>
      </c>
    </row>
    <row r="9" spans="2:3" ht="21" customHeight="1" x14ac:dyDescent="0.55000000000000004">
      <c r="B9" s="46" t="s">
        <v>67</v>
      </c>
    </row>
    <row r="10" spans="2:3" ht="21" customHeight="1" x14ac:dyDescent="0.55000000000000004">
      <c r="B10" s="40" t="s">
        <v>87</v>
      </c>
    </row>
    <row r="11" spans="2:3" ht="21" customHeight="1" x14ac:dyDescent="0.55000000000000004">
      <c r="B11" s="40" t="s">
        <v>88</v>
      </c>
    </row>
    <row r="12" spans="2:3" ht="21" customHeight="1" x14ac:dyDescent="0.55000000000000004">
      <c r="B12" s="40" t="s">
        <v>113</v>
      </c>
    </row>
    <row r="13" spans="2:3" ht="21" customHeight="1" x14ac:dyDescent="0.55000000000000004">
      <c r="B13" s="40" t="s">
        <v>68</v>
      </c>
    </row>
    <row r="14" spans="2:3" ht="21" customHeight="1" x14ac:dyDescent="0.55000000000000004">
      <c r="B14" s="40" t="s">
        <v>71</v>
      </c>
    </row>
    <row r="15" spans="2:3" ht="10" customHeight="1" x14ac:dyDescent="0.55000000000000004"/>
    <row r="16" spans="2:3" ht="10" customHeight="1" thickBot="1" x14ac:dyDescent="0.6"/>
    <row r="17" spans="2:13" ht="24" customHeight="1" x14ac:dyDescent="0.55000000000000004">
      <c r="B17" s="175" t="str">
        <f>TEXT(年度&amp;"/1/1","ggge年度")&amp;"　伊勢崎市国民健康保険税　試算シート"</f>
        <v>令和7年度　伊勢崎市国民健康保険税　試算シート</v>
      </c>
      <c r="C17" s="175"/>
      <c r="D17" s="175"/>
      <c r="E17" s="175"/>
      <c r="F17" s="175"/>
      <c r="H17" s="47" t="s">
        <v>61</v>
      </c>
      <c r="I17" s="48" t="s">
        <v>40</v>
      </c>
      <c r="J17" s="48" t="s">
        <v>75</v>
      </c>
      <c r="K17" s="49" t="s">
        <v>76</v>
      </c>
    </row>
    <row r="18" spans="2:13" ht="24" customHeight="1" x14ac:dyDescent="0.55000000000000004">
      <c r="B18" s="175"/>
      <c r="C18" s="175"/>
      <c r="D18" s="175"/>
      <c r="E18" s="175"/>
      <c r="F18" s="175"/>
      <c r="H18" s="50" t="s">
        <v>41</v>
      </c>
      <c r="I18" s="51">
        <v>6.9000000000000006E-2</v>
      </c>
      <c r="J18" s="51">
        <v>2.5999999999999999E-2</v>
      </c>
      <c r="K18" s="52">
        <v>2.1000000000000001E-2</v>
      </c>
    </row>
    <row r="19" spans="2:13" ht="24" customHeight="1" thickBot="1" x14ac:dyDescent="0.6">
      <c r="B19" s="46"/>
      <c r="H19" s="50" t="s">
        <v>59</v>
      </c>
      <c r="I19" s="53">
        <v>26000</v>
      </c>
      <c r="J19" s="53">
        <v>10000</v>
      </c>
      <c r="K19" s="54">
        <v>11000</v>
      </c>
    </row>
    <row r="20" spans="2:13" ht="24" customHeight="1" thickTop="1" thickBot="1" x14ac:dyDescent="0.6">
      <c r="B20" s="55"/>
      <c r="C20" s="40" t="s">
        <v>57</v>
      </c>
      <c r="H20" s="50" t="s">
        <v>60</v>
      </c>
      <c r="I20" s="53">
        <v>20500</v>
      </c>
      <c r="J20" s="53">
        <v>7500</v>
      </c>
      <c r="K20" s="54">
        <v>6100</v>
      </c>
    </row>
    <row r="21" spans="2:13" ht="24" customHeight="1" thickTop="1" thickBot="1" x14ac:dyDescent="0.6">
      <c r="H21" s="56" t="s">
        <v>42</v>
      </c>
      <c r="I21" s="57">
        <v>660000</v>
      </c>
      <c r="J21" s="57">
        <v>260000</v>
      </c>
      <c r="K21" s="58">
        <v>170000</v>
      </c>
    </row>
    <row r="22" spans="2:13" ht="24" customHeight="1" thickBot="1" x14ac:dyDescent="0.6">
      <c r="B22" s="59" t="s">
        <v>89</v>
      </c>
    </row>
    <row r="23" spans="2:13" s="66" customFormat="1" ht="28.5" thickBot="1" x14ac:dyDescent="0.6">
      <c r="B23" s="60"/>
      <c r="C23" s="61" t="s">
        <v>45</v>
      </c>
      <c r="D23" s="62" t="s">
        <v>0</v>
      </c>
      <c r="E23" s="63" t="s">
        <v>77</v>
      </c>
      <c r="F23" s="62" t="s">
        <v>1</v>
      </c>
      <c r="G23" s="62" t="s">
        <v>78</v>
      </c>
      <c r="H23" s="61" t="s">
        <v>79</v>
      </c>
      <c r="I23" s="63" t="s">
        <v>82</v>
      </c>
      <c r="J23" s="64" t="s">
        <v>80</v>
      </c>
      <c r="K23" s="65" t="s">
        <v>81</v>
      </c>
    </row>
    <row r="24" spans="2:13" ht="35.15" customHeight="1" thickTop="1" thickBot="1" x14ac:dyDescent="0.6">
      <c r="B24" s="67" t="s">
        <v>46</v>
      </c>
      <c r="C24" s="68" t="s">
        <v>114</v>
      </c>
      <c r="D24" s="159"/>
      <c r="E24" s="160">
        <f>給与所得計算!B2</f>
        <v>0</v>
      </c>
      <c r="F24" s="159"/>
      <c r="G24" s="161">
        <f>IF(C24="","",年金所得計算!B2)</f>
        <v>0</v>
      </c>
      <c r="H24" s="159"/>
      <c r="I24" s="161">
        <f t="shared" ref="I24:I28" si="0">IF(C24="","",IF(AND(E24&gt;0,G24&gt;0,SUM(E24,G24)&gt;100000),MAX(MIN(E24,100000)+MIN(G24,100000)-100000,0),0))</f>
        <v>0</v>
      </c>
      <c r="J24" s="162">
        <f>IF(SUM(E24,G24,H24)&lt;24000000,430000,IF(AND(24500000&gt;=SUM(E24,G24,H24),SUM(E24,G24,H24)&gt;24000000),290000,IF(AND(25000000&gt;=SUM(E24,G24,H24),SUM(E24,G24,H24)&gt;24500000),150000,0)))</f>
        <v>430000</v>
      </c>
      <c r="K24" s="163">
        <f t="shared" ref="K24:K28" si="1">IF(C24="","",MAX(SUM(E24,G24,H24)-SUM(I24,J24),0))</f>
        <v>0</v>
      </c>
      <c r="L24" s="69">
        <f t="shared" ref="L24:L33" si="2">IF(C24="40～64歳",K24,0)</f>
        <v>0</v>
      </c>
    </row>
    <row r="25" spans="2:13" ht="35.15" customHeight="1" thickTop="1" thickBot="1" x14ac:dyDescent="0.6">
      <c r="B25" s="67" t="s">
        <v>47</v>
      </c>
      <c r="C25" s="68"/>
      <c r="D25" s="159"/>
      <c r="E25" s="160" t="str">
        <f>IF(C25="","",給与所得計算!C2)</f>
        <v/>
      </c>
      <c r="F25" s="159"/>
      <c r="G25" s="161" t="str">
        <f>IF(C25="","",年金所得計算!C2)</f>
        <v/>
      </c>
      <c r="H25" s="159"/>
      <c r="I25" s="161" t="str">
        <f t="shared" si="0"/>
        <v/>
      </c>
      <c r="J25" s="162" t="str">
        <f t="shared" ref="J25:J33" si="3">IF(C25="","",IF(SUM(E25,G25,H25)&lt;24000000,430000,IF(AND(24500000&gt;=SUM(E25,G25,H25),SUM(E25,G25,H25)&gt;24000000),290000,IF(AND(25000000&gt;=SUM(E25,G25,H25),SUM(E25,G25,H25)&gt;24500000),150000,0))))</f>
        <v/>
      </c>
      <c r="K25" s="163" t="str">
        <f t="shared" si="1"/>
        <v/>
      </c>
      <c r="L25" s="69">
        <f t="shared" si="2"/>
        <v>0</v>
      </c>
      <c r="M25" s="70"/>
    </row>
    <row r="26" spans="2:13" ht="35.15" customHeight="1" thickTop="1" thickBot="1" x14ac:dyDescent="0.6">
      <c r="B26" s="67" t="s">
        <v>48</v>
      </c>
      <c r="C26" s="68"/>
      <c r="D26" s="159"/>
      <c r="E26" s="160" t="str">
        <f>IF(C26="","",給与所得計算!D2)</f>
        <v/>
      </c>
      <c r="F26" s="159"/>
      <c r="G26" s="161" t="str">
        <f>IF(C26="","",年金所得計算!D2)</f>
        <v/>
      </c>
      <c r="H26" s="159"/>
      <c r="I26" s="161" t="str">
        <f t="shared" si="0"/>
        <v/>
      </c>
      <c r="J26" s="162" t="str">
        <f t="shared" si="3"/>
        <v/>
      </c>
      <c r="K26" s="163" t="str">
        <f t="shared" si="1"/>
        <v/>
      </c>
      <c r="L26" s="69">
        <f t="shared" si="2"/>
        <v>0</v>
      </c>
    </row>
    <row r="27" spans="2:13" ht="35.15" customHeight="1" thickTop="1" thickBot="1" x14ac:dyDescent="0.6">
      <c r="B27" s="67" t="s">
        <v>49</v>
      </c>
      <c r="C27" s="68"/>
      <c r="D27" s="159"/>
      <c r="E27" s="160" t="str">
        <f>IF(C27="","",給与所得計算!E2)</f>
        <v/>
      </c>
      <c r="F27" s="159"/>
      <c r="G27" s="161" t="str">
        <f>IF(C27="","",年金所得計算!E2)</f>
        <v/>
      </c>
      <c r="H27" s="159"/>
      <c r="I27" s="161" t="str">
        <f t="shared" si="0"/>
        <v/>
      </c>
      <c r="J27" s="162" t="str">
        <f t="shared" si="3"/>
        <v/>
      </c>
      <c r="K27" s="163" t="str">
        <f t="shared" si="1"/>
        <v/>
      </c>
      <c r="L27" s="69">
        <f t="shared" si="2"/>
        <v>0</v>
      </c>
    </row>
    <row r="28" spans="2:13" ht="35.15" customHeight="1" thickTop="1" thickBot="1" x14ac:dyDescent="0.6">
      <c r="B28" s="67" t="s">
        <v>50</v>
      </c>
      <c r="C28" s="68"/>
      <c r="D28" s="159"/>
      <c r="E28" s="160" t="str">
        <f>IF(C28="","",給与所得計算!F2)</f>
        <v/>
      </c>
      <c r="F28" s="159"/>
      <c r="G28" s="161" t="str">
        <f>IF(C28="","",年金所得計算!F2)</f>
        <v/>
      </c>
      <c r="H28" s="159"/>
      <c r="I28" s="161" t="str">
        <f t="shared" si="0"/>
        <v/>
      </c>
      <c r="J28" s="162" t="str">
        <f t="shared" si="3"/>
        <v/>
      </c>
      <c r="K28" s="163" t="str">
        <f t="shared" si="1"/>
        <v/>
      </c>
      <c r="L28" s="69">
        <f t="shared" si="2"/>
        <v>0</v>
      </c>
    </row>
    <row r="29" spans="2:13" ht="35.15" customHeight="1" thickTop="1" thickBot="1" x14ac:dyDescent="0.6">
      <c r="B29" s="67" t="s">
        <v>51</v>
      </c>
      <c r="C29" s="68"/>
      <c r="D29" s="159"/>
      <c r="E29" s="160" t="str">
        <f>IF(C29="","",給与所得計算!G2)</f>
        <v/>
      </c>
      <c r="F29" s="159"/>
      <c r="G29" s="161" t="str">
        <f>IF(C29="","",年金所得計算!G2)</f>
        <v/>
      </c>
      <c r="H29" s="159"/>
      <c r="I29" s="161" t="str">
        <f>IF(C29="","",IF(AND(E29&gt;0,G29&gt;0,SUM(E29,G29)&gt;100000),MAX(MIN(E29,100000)+MIN(G29,100000)-100000,0),0))</f>
        <v/>
      </c>
      <c r="J29" s="162" t="str">
        <f t="shared" si="3"/>
        <v/>
      </c>
      <c r="K29" s="163" t="str">
        <f>IF(C29="","",MAX(SUM(E29,G29,H29)-SUM(I29,J29),0))</f>
        <v/>
      </c>
      <c r="L29" s="69">
        <f t="shared" si="2"/>
        <v>0</v>
      </c>
    </row>
    <row r="30" spans="2:13" ht="35.15" customHeight="1" thickTop="1" thickBot="1" x14ac:dyDescent="0.6">
      <c r="B30" s="67" t="s">
        <v>52</v>
      </c>
      <c r="C30" s="68"/>
      <c r="D30" s="159"/>
      <c r="E30" s="160" t="str">
        <f>IF(C30="","",給与所得計算!H2)</f>
        <v/>
      </c>
      <c r="F30" s="159"/>
      <c r="G30" s="161" t="str">
        <f>IF(C30="","",年金所得計算!H2)</f>
        <v/>
      </c>
      <c r="H30" s="159"/>
      <c r="I30" s="161" t="str">
        <f>IF(C30="","",IF(AND(E30&gt;0,G30&gt;0,SUM(E30,G30)&gt;100000),MAX(MIN(E30,100000)+MIN(G30,100000)-100000,0),0))</f>
        <v/>
      </c>
      <c r="J30" s="162" t="str">
        <f t="shared" si="3"/>
        <v/>
      </c>
      <c r="K30" s="163" t="str">
        <f t="shared" ref="K30:K33" si="4">IF(C30="","",MAX(SUM(E30,G30,H30)-SUM(I30,J30),0))</f>
        <v/>
      </c>
      <c r="L30" s="69">
        <f t="shared" si="2"/>
        <v>0</v>
      </c>
    </row>
    <row r="31" spans="2:13" ht="35.15" customHeight="1" thickTop="1" thickBot="1" x14ac:dyDescent="0.6">
      <c r="B31" s="67" t="s">
        <v>53</v>
      </c>
      <c r="C31" s="68"/>
      <c r="D31" s="159"/>
      <c r="E31" s="160" t="str">
        <f>IF(C31="","",給与所得計算!I2)</f>
        <v/>
      </c>
      <c r="F31" s="159"/>
      <c r="G31" s="161" t="str">
        <f>IF(C31="","",年金所得計算!I2)</f>
        <v/>
      </c>
      <c r="H31" s="159"/>
      <c r="I31" s="161" t="str">
        <f t="shared" ref="I31:I33" si="5">IF(C31="","",IF(AND(E31&gt;0,G31&gt;0,SUM(E31,G31)&gt;100000),MAX(MIN(E31,100000)+MIN(G31,100000)-100000,0),0))</f>
        <v/>
      </c>
      <c r="J31" s="162" t="str">
        <f t="shared" si="3"/>
        <v/>
      </c>
      <c r="K31" s="163" t="str">
        <f t="shared" si="4"/>
        <v/>
      </c>
      <c r="L31" s="69">
        <f t="shared" si="2"/>
        <v>0</v>
      </c>
    </row>
    <row r="32" spans="2:13" ht="35.15" customHeight="1" thickTop="1" thickBot="1" x14ac:dyDescent="0.6">
      <c r="B32" s="67" t="s">
        <v>54</v>
      </c>
      <c r="C32" s="68"/>
      <c r="D32" s="159"/>
      <c r="E32" s="160" t="str">
        <f>IF(C32="","",給与所得計算!J2)</f>
        <v/>
      </c>
      <c r="F32" s="159"/>
      <c r="G32" s="161" t="str">
        <f>IF(C32="","",年金所得計算!J2)</f>
        <v/>
      </c>
      <c r="H32" s="159"/>
      <c r="I32" s="161" t="str">
        <f t="shared" si="5"/>
        <v/>
      </c>
      <c r="J32" s="162" t="str">
        <f t="shared" si="3"/>
        <v/>
      </c>
      <c r="K32" s="163" t="str">
        <f t="shared" si="4"/>
        <v/>
      </c>
      <c r="L32" s="69">
        <f t="shared" si="2"/>
        <v>0</v>
      </c>
    </row>
    <row r="33" spans="2:12" ht="35.15" customHeight="1" thickTop="1" thickBot="1" x14ac:dyDescent="0.6">
      <c r="B33" s="67" t="s">
        <v>55</v>
      </c>
      <c r="C33" s="71"/>
      <c r="D33" s="164"/>
      <c r="E33" s="165" t="str">
        <f>IF(C33="","",給与所得計算!K2)</f>
        <v/>
      </c>
      <c r="F33" s="164"/>
      <c r="G33" s="161" t="str">
        <f>IF(C33="","",年金所得計算!K2)</f>
        <v/>
      </c>
      <c r="H33" s="164"/>
      <c r="I33" s="161" t="str">
        <f t="shared" si="5"/>
        <v/>
      </c>
      <c r="J33" s="166" t="str">
        <f t="shared" si="3"/>
        <v/>
      </c>
      <c r="K33" s="163" t="str">
        <f t="shared" si="4"/>
        <v/>
      </c>
      <c r="L33" s="69">
        <f t="shared" si="2"/>
        <v>0</v>
      </c>
    </row>
    <row r="34" spans="2:12" ht="24" customHeight="1" thickTop="1" thickBot="1" x14ac:dyDescent="0.6">
      <c r="B34" s="72"/>
      <c r="C34" s="73">
        <f>COUNTA(C24:C33)</f>
        <v>1</v>
      </c>
      <c r="D34" s="73">
        <f>COUNTIF(C24:C33,"40～64歳")</f>
        <v>1</v>
      </c>
      <c r="E34" s="73">
        <f>COUNTIF(C24:C33,"0～5歳")</f>
        <v>0</v>
      </c>
      <c r="F34" s="74"/>
      <c r="G34" s="74"/>
      <c r="H34" s="75"/>
      <c r="I34" s="74"/>
      <c r="J34" s="74"/>
      <c r="K34" s="76">
        <f>SUM(K24:K33)</f>
        <v>0</v>
      </c>
      <c r="L34" s="69">
        <f>SUM(L24:L33)</f>
        <v>0</v>
      </c>
    </row>
    <row r="35" spans="2:12" ht="24" customHeight="1" thickBot="1" x14ac:dyDescent="0.6"/>
    <row r="36" spans="2:12" ht="24" customHeight="1" x14ac:dyDescent="0.55000000000000004">
      <c r="B36" s="77" t="s">
        <v>62</v>
      </c>
      <c r="C36" s="78" t="str">
        <f>C34&amp;"人"</f>
        <v>1人</v>
      </c>
      <c r="E36" s="79"/>
      <c r="F36" s="48" t="s">
        <v>40</v>
      </c>
      <c r="G36" s="48" t="s">
        <v>84</v>
      </c>
      <c r="H36" s="49" t="s">
        <v>76</v>
      </c>
      <c r="J36" s="180" t="s">
        <v>65</v>
      </c>
      <c r="K36" s="181"/>
    </row>
    <row r="37" spans="2:12" ht="24" customHeight="1" x14ac:dyDescent="0.55000000000000004">
      <c r="B37" s="80" t="s">
        <v>63</v>
      </c>
      <c r="C37" s="81" t="str">
        <f>D34&amp;"人"</f>
        <v>1人</v>
      </c>
      <c r="E37" s="82" t="s">
        <v>66</v>
      </c>
      <c r="F37" s="157">
        <f>ROUNDDOWN($K$34*I18,0)</f>
        <v>0</v>
      </c>
      <c r="G37" s="157">
        <f>ROUNDDOWN($K$34*J18,0)</f>
        <v>0</v>
      </c>
      <c r="H37" s="158">
        <f>ROUNDDOWN($L$34*K18,0)</f>
        <v>0</v>
      </c>
      <c r="J37" s="176">
        <f>SUM(F43:H43)</f>
        <v>81100</v>
      </c>
      <c r="K37" s="177"/>
    </row>
    <row r="38" spans="2:12" ht="24" customHeight="1" x14ac:dyDescent="0.55000000000000004">
      <c r="B38" s="80" t="s">
        <v>69</v>
      </c>
      <c r="C38" s="81" t="str">
        <f>E34&amp;"人"</f>
        <v>0人</v>
      </c>
      <c r="E38" s="82" t="s">
        <v>59</v>
      </c>
      <c r="F38" s="157">
        <f>SUM((C34-E34)*I19,E34*I19/2)</f>
        <v>26000</v>
      </c>
      <c r="G38" s="157">
        <f>SUM((C34-E34)*J19,E34*J19/2)</f>
        <v>10000</v>
      </c>
      <c r="H38" s="158">
        <f>D34*K19</f>
        <v>11000</v>
      </c>
      <c r="J38" s="176"/>
      <c r="K38" s="177"/>
    </row>
    <row r="39" spans="2:12" ht="24" customHeight="1" thickBot="1" x14ac:dyDescent="0.6">
      <c r="B39" s="83" t="s">
        <v>64</v>
      </c>
      <c r="C39" s="84" t="str">
        <f>TEXT(K34,"#,#円")</f>
        <v>円</v>
      </c>
      <c r="E39" s="85" t="s">
        <v>60</v>
      </c>
      <c r="F39" s="167">
        <f>IF(C34&gt;0,I20,0)</f>
        <v>20500</v>
      </c>
      <c r="G39" s="167">
        <f>IF(C34&gt;0,J20,0)</f>
        <v>7500</v>
      </c>
      <c r="H39" s="168">
        <f>IF(D34&gt;0,K20,0)</f>
        <v>6100</v>
      </c>
      <c r="J39" s="178"/>
      <c r="K39" s="179"/>
    </row>
    <row r="40" spans="2:12" ht="24" customHeight="1" thickBot="1" x14ac:dyDescent="0.6">
      <c r="B40" s="86" t="str">
        <f>IF(D34&gt;0,"（介護分対象者）","")</f>
        <v>（介護分対象者）</v>
      </c>
      <c r="C40" s="87" t="str">
        <f>IF(D34&gt;0,TEXT(L34,"#,#円"),"")</f>
        <v>円</v>
      </c>
      <c r="E40" s="88" t="s">
        <v>2</v>
      </c>
      <c r="F40" s="169">
        <f>SUM(F37:F39)</f>
        <v>46500</v>
      </c>
      <c r="G40" s="169">
        <f>SUM(G37:G39)</f>
        <v>17500</v>
      </c>
      <c r="H40" s="170">
        <f t="shared" ref="H40" si="6">SUM(H37:H39)</f>
        <v>17100</v>
      </c>
      <c r="J40" s="89" t="s">
        <v>74</v>
      </c>
      <c r="K40" s="174">
        <f>J37/12</f>
        <v>6758.333333333333</v>
      </c>
      <c r="L40" s="90"/>
    </row>
    <row r="41" spans="2:12" ht="24" customHeight="1" x14ac:dyDescent="0.55000000000000004">
      <c r="E41" s="82" t="s">
        <v>72</v>
      </c>
      <c r="F41" s="157">
        <f>ROUNDDOWN(F40,-2)</f>
        <v>46500</v>
      </c>
      <c r="G41" s="157">
        <f t="shared" ref="G41:H41" si="7">ROUNDDOWN(G40,-2)</f>
        <v>17500</v>
      </c>
      <c r="H41" s="158">
        <f t="shared" si="7"/>
        <v>17100</v>
      </c>
    </row>
    <row r="42" spans="2:12" ht="24" customHeight="1" thickBot="1" x14ac:dyDescent="0.6">
      <c r="E42" s="91" t="s">
        <v>42</v>
      </c>
      <c r="F42" s="171">
        <f>I21</f>
        <v>660000</v>
      </c>
      <c r="G42" s="171">
        <f>J21</f>
        <v>260000</v>
      </c>
      <c r="H42" s="172">
        <f>K21</f>
        <v>170000</v>
      </c>
      <c r="I42" s="92" t="s">
        <v>85</v>
      </c>
    </row>
    <row r="43" spans="2:12" ht="24" customHeight="1" x14ac:dyDescent="0.55000000000000004">
      <c r="E43" s="46" t="s">
        <v>39</v>
      </c>
      <c r="F43" s="173">
        <f>MIN(F42,F41)</f>
        <v>46500</v>
      </c>
      <c r="G43" s="173">
        <f t="shared" ref="G43:H43" si="8">MIN(G42,G41)</f>
        <v>17500</v>
      </c>
      <c r="H43" s="173">
        <f t="shared" si="8"/>
        <v>17100</v>
      </c>
      <c r="I43" s="92" t="s">
        <v>86</v>
      </c>
    </row>
  </sheetData>
  <sheetProtection algorithmName="SHA-512" hashValue="T+yUNeYGRP1Jbcw9Nfaqn3sf32kuDTpZRuNm70PvYL8tYauBlV+Q7BS4UjWTfkVz5vKa0RyK7P8z6eOR7JLqlg==" saltValue="LXzEOYW5GIwWg1D0PeEjAQ==" spinCount="100000" sheet="1" selectLockedCells="1"/>
  <protectedRanges>
    <protectedRange sqref="H24:H33" name="範囲3"/>
    <protectedRange sqref="F24:F33" name="範囲2"/>
    <protectedRange sqref="C24:D33" name="範囲1"/>
  </protectedRanges>
  <mergeCells count="3">
    <mergeCell ref="B17:F18"/>
    <mergeCell ref="J37:K39"/>
    <mergeCell ref="J36:K36"/>
  </mergeCells>
  <phoneticPr fontId="1"/>
  <conditionalFormatting sqref="B24:B33">
    <cfRule type="expression" dxfId="3" priority="2">
      <formula>NOT(C24="")</formula>
    </cfRule>
  </conditionalFormatting>
  <conditionalFormatting sqref="F42:H42">
    <cfRule type="cellIs" dxfId="2" priority="1" operator="lessThan">
      <formula>F$41</formula>
    </cfRule>
  </conditionalFormatting>
  <dataValidations count="1">
    <dataValidation type="list" allowBlank="1" showInputMessage="1" showErrorMessage="1" sqref="C24:C33" xr:uid="{00000000-0002-0000-0000-000000000000}">
      <formula1>"0～5歳,6～39歳,40～64歳,65～74歳"</formula1>
    </dataValidation>
  </dataValidations>
  <printOptions horizontalCentered="1"/>
  <pageMargins left="0.39370078740157483" right="0.39370078740157483" top="0.19685039370078741" bottom="0.19685039370078741" header="0.19685039370078741" footer="0.19685039370078741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V37"/>
  <sheetViews>
    <sheetView showGridLines="0" zoomScale="70" zoomScaleNormal="70" zoomScaleSheetLayoutView="70" workbookViewId="0">
      <selection activeCell="K5" sqref="K5"/>
    </sheetView>
  </sheetViews>
  <sheetFormatPr defaultColWidth="9" defaultRowHeight="24" customHeight="1" x14ac:dyDescent="0.55000000000000004"/>
  <cols>
    <col min="1" max="1" width="2.58203125" style="95" customWidth="1"/>
    <col min="2" max="2" width="20.58203125" style="95" customWidth="1"/>
    <col min="3" max="3" width="3.58203125" style="95" customWidth="1"/>
    <col min="4" max="4" width="20.58203125" style="95" customWidth="1"/>
    <col min="5" max="5" width="3.58203125" style="95" customWidth="1"/>
    <col min="6" max="6" width="20.58203125" style="95" customWidth="1"/>
    <col min="7" max="7" width="3.58203125" style="95" customWidth="1"/>
    <col min="8" max="8" width="20.58203125" style="95" customWidth="1"/>
    <col min="9" max="9" width="3.58203125" style="95" customWidth="1"/>
    <col min="10" max="10" width="20.58203125" style="95" customWidth="1"/>
    <col min="11" max="11" width="3.58203125" style="95" customWidth="1"/>
    <col min="12" max="12" width="20.58203125" style="95" customWidth="1"/>
    <col min="13" max="13" width="3.58203125" style="95" customWidth="1"/>
    <col min="14" max="14" width="20.58203125" style="89" customWidth="1"/>
    <col min="15" max="15" width="3.58203125" style="95" customWidth="1"/>
    <col min="16" max="16" width="20.58203125" style="89" customWidth="1"/>
    <col min="17" max="17" width="3.58203125" style="95" customWidth="1"/>
    <col min="18" max="19" width="20.58203125" style="95" customWidth="1"/>
    <col min="20" max="20" width="20.58203125" style="89" customWidth="1"/>
    <col min="21" max="21" width="20.58203125" style="95" customWidth="1"/>
    <col min="22" max="22" width="20.58203125" style="89" customWidth="1"/>
    <col min="23" max="24" width="20.58203125" style="95" customWidth="1"/>
    <col min="25" max="25" width="9" style="95"/>
    <col min="26" max="26" width="20.58203125" style="95" customWidth="1"/>
    <col min="27" max="27" width="4" style="95" bestFit="1" customWidth="1"/>
    <col min="28" max="28" width="20.58203125" style="95" customWidth="1"/>
    <col min="29" max="29" width="4" style="95" bestFit="1" customWidth="1"/>
    <col min="30" max="30" width="20.58203125" style="95" customWidth="1"/>
    <col min="31" max="16384" width="9" style="95"/>
  </cols>
  <sheetData>
    <row r="1" spans="2:16" ht="10" customHeight="1" x14ac:dyDescent="0.55000000000000004"/>
    <row r="2" spans="2:16" ht="10" customHeight="1" x14ac:dyDescent="0.55000000000000004"/>
    <row r="3" spans="2:16" ht="24" customHeight="1" x14ac:dyDescent="0.55000000000000004">
      <c r="B3" s="43" t="s">
        <v>44</v>
      </c>
    </row>
    <row r="4" spans="2:16" ht="24" customHeight="1" x14ac:dyDescent="0.55000000000000004">
      <c r="B4" s="44" t="s">
        <v>73</v>
      </c>
      <c r="F4" s="43"/>
    </row>
    <row r="5" spans="2:16" ht="24" customHeight="1" x14ac:dyDescent="0.55000000000000004">
      <c r="B5" s="96" t="s">
        <v>91</v>
      </c>
    </row>
    <row r="6" spans="2:16" ht="24" customHeight="1" x14ac:dyDescent="0.55000000000000004">
      <c r="B6" s="96"/>
    </row>
    <row r="7" spans="2:16" ht="24" customHeight="1" x14ac:dyDescent="0.55000000000000004">
      <c r="B7" s="43" t="s">
        <v>90</v>
      </c>
      <c r="C7" s="97"/>
      <c r="D7" s="97"/>
      <c r="E7" s="97"/>
      <c r="F7" s="45"/>
    </row>
    <row r="8" spans="2:16" ht="23.25" customHeight="1" thickBot="1" x14ac:dyDescent="0.6">
      <c r="B8" s="142" t="str">
        <f>"国民健康保険に加入する人数"</f>
        <v>国民健康保険に加入する人数</v>
      </c>
      <c r="C8" s="143"/>
      <c r="D8" s="143"/>
      <c r="E8" s="144"/>
      <c r="F8" s="145">
        <f>★試算★!C34</f>
        <v>1</v>
      </c>
    </row>
    <row r="9" spans="2:16" ht="24" customHeight="1" x14ac:dyDescent="0.55000000000000004">
      <c r="B9" s="146" t="str">
        <f>"そのうち、40歳から64歳までの人数"</f>
        <v>そのうち、40歳から64歳までの人数</v>
      </c>
      <c r="C9" s="147"/>
      <c r="D9" s="147"/>
      <c r="E9" s="147"/>
      <c r="F9" s="148">
        <f>★試算★!D34</f>
        <v>1</v>
      </c>
      <c r="H9" s="185" t="s">
        <v>61</v>
      </c>
      <c r="I9" s="186"/>
      <c r="J9" s="191" t="s">
        <v>40</v>
      </c>
      <c r="K9" s="191"/>
      <c r="L9" s="191" t="s">
        <v>75</v>
      </c>
      <c r="M9" s="191"/>
      <c r="N9" s="191" t="s">
        <v>76</v>
      </c>
      <c r="O9" s="195"/>
    </row>
    <row r="10" spans="2:16" ht="24" customHeight="1" x14ac:dyDescent="0.55000000000000004">
      <c r="B10" s="146" t="s">
        <v>83</v>
      </c>
      <c r="C10" s="98"/>
      <c r="D10" s="98"/>
      <c r="E10" s="147"/>
      <c r="F10" s="149"/>
      <c r="H10" s="187" t="s">
        <v>41</v>
      </c>
      <c r="I10" s="188"/>
      <c r="J10" s="192">
        <f>医療所得割率</f>
        <v>6.9000000000000006E-2</v>
      </c>
      <c r="K10" s="192"/>
      <c r="L10" s="192">
        <f>支援所得割率</f>
        <v>2.5999999999999999E-2</v>
      </c>
      <c r="M10" s="192"/>
      <c r="N10" s="192">
        <f>介護所得割率</f>
        <v>2.1000000000000001E-2</v>
      </c>
      <c r="O10" s="196"/>
      <c r="P10" s="95"/>
    </row>
    <row r="11" spans="2:16" ht="24" customHeight="1" x14ac:dyDescent="0.55000000000000004">
      <c r="B11" s="146" t="str">
        <f>"未就学児（5歳まで）の人数"</f>
        <v>未就学児（5歳まで）の人数</v>
      </c>
      <c r="C11" s="98"/>
      <c r="D11" s="98"/>
      <c r="E11" s="147"/>
      <c r="F11" s="150">
        <f>★試算★!E34</f>
        <v>0</v>
      </c>
      <c r="H11" s="187" t="s">
        <v>59</v>
      </c>
      <c r="I11" s="188"/>
      <c r="J11" s="193">
        <f>医療均等割</f>
        <v>26000</v>
      </c>
      <c r="K11" s="193"/>
      <c r="L11" s="193">
        <f>支援均等割</f>
        <v>10000</v>
      </c>
      <c r="M11" s="193"/>
      <c r="N11" s="193">
        <f>介護均等割</f>
        <v>11000</v>
      </c>
      <c r="O11" s="197"/>
    </row>
    <row r="12" spans="2:16" ht="24" customHeight="1" x14ac:dyDescent="0.55000000000000004">
      <c r="B12" s="151" t="str">
        <f>"課税所得額の世帯合計は"</f>
        <v>課税所得額の世帯合計は</v>
      </c>
      <c r="C12" s="152"/>
      <c r="D12" s="152"/>
      <c r="E12" s="152"/>
      <c r="F12" s="153" t="str">
        <f>TEXT(★試算★!K34,"#,#0")&amp;"円"</f>
        <v>0円</v>
      </c>
      <c r="H12" s="187" t="s">
        <v>60</v>
      </c>
      <c r="I12" s="188"/>
      <c r="J12" s="193">
        <f>医療平等割</f>
        <v>20500</v>
      </c>
      <c r="K12" s="193"/>
      <c r="L12" s="193">
        <f>支援平等割</f>
        <v>7500</v>
      </c>
      <c r="M12" s="193"/>
      <c r="N12" s="193">
        <f>介護平等割</f>
        <v>6100</v>
      </c>
      <c r="O12" s="197"/>
    </row>
    <row r="13" spans="2:16" ht="24" customHeight="1" thickBot="1" x14ac:dyDescent="0.6">
      <c r="B13" s="154" t="str">
        <f>"そのうち、40歳から64歳までの人の分"</f>
        <v>そのうち、40歳から64歳までの人の分</v>
      </c>
      <c r="C13" s="120"/>
      <c r="D13" s="120"/>
      <c r="E13" s="100"/>
      <c r="F13" s="155" t="str">
        <f>TEXT(★試算★!L34,"#,#0")&amp;"円"</f>
        <v>0円</v>
      </c>
      <c r="H13" s="189" t="s">
        <v>42</v>
      </c>
      <c r="I13" s="190"/>
      <c r="J13" s="194">
        <f>医療限度額</f>
        <v>660000</v>
      </c>
      <c r="K13" s="194"/>
      <c r="L13" s="194">
        <f>支援限度額</f>
        <v>260000</v>
      </c>
      <c r="M13" s="194"/>
      <c r="N13" s="194">
        <f>介護限度額</f>
        <v>170000</v>
      </c>
      <c r="O13" s="198"/>
    </row>
    <row r="14" spans="2:16" ht="24" customHeight="1" x14ac:dyDescent="0.55000000000000004">
      <c r="B14" s="93"/>
      <c r="C14" s="93"/>
      <c r="D14" s="93"/>
      <c r="F14" s="94" t="s">
        <v>110</v>
      </c>
    </row>
    <row r="15" spans="2:16" ht="24" customHeight="1" x14ac:dyDescent="0.55000000000000004">
      <c r="B15" s="93"/>
      <c r="C15" s="93"/>
      <c r="D15" s="93"/>
      <c r="F15" s="94"/>
    </row>
    <row r="16" spans="2:16" ht="24" customHeight="1" x14ac:dyDescent="0.55000000000000004">
      <c r="F16" s="97"/>
    </row>
    <row r="17" spans="2:22" ht="24" customHeight="1" x14ac:dyDescent="0.55000000000000004">
      <c r="B17" s="182" t="s">
        <v>108</v>
      </c>
      <c r="C17" s="183"/>
      <c r="D17" s="183"/>
      <c r="E17" s="183"/>
      <c r="F17" s="184"/>
      <c r="H17" s="182" t="s">
        <v>107</v>
      </c>
      <c r="I17" s="183"/>
      <c r="J17" s="183"/>
      <c r="K17" s="183"/>
      <c r="L17" s="184"/>
      <c r="N17" s="182" t="s">
        <v>109</v>
      </c>
      <c r="O17" s="183"/>
      <c r="P17" s="183"/>
      <c r="Q17" s="183"/>
      <c r="R17" s="184"/>
      <c r="T17" s="95"/>
      <c r="V17" s="95"/>
    </row>
    <row r="18" spans="2:22" ht="24" customHeight="1" x14ac:dyDescent="0.55000000000000004">
      <c r="B18" s="106" t="s">
        <v>95</v>
      </c>
      <c r="C18" s="107"/>
      <c r="D18" s="107"/>
      <c r="E18" s="107"/>
      <c r="F18" s="108"/>
      <c r="H18" s="106" t="s">
        <v>95</v>
      </c>
      <c r="I18" s="132"/>
      <c r="J18" s="107"/>
      <c r="K18" s="132"/>
      <c r="L18" s="108"/>
      <c r="N18" s="106" t="s">
        <v>95</v>
      </c>
      <c r="O18" s="132"/>
      <c r="P18" s="107"/>
      <c r="Q18" s="132"/>
      <c r="R18" s="108"/>
      <c r="T18" s="95"/>
      <c r="V18" s="95"/>
    </row>
    <row r="19" spans="2:22" ht="24" customHeight="1" x14ac:dyDescent="0.55000000000000004">
      <c r="B19" s="109" t="s">
        <v>92</v>
      </c>
      <c r="C19" s="98"/>
      <c r="D19" s="110" t="s">
        <v>41</v>
      </c>
      <c r="E19" s="98"/>
      <c r="F19" s="111"/>
      <c r="H19" s="109" t="s">
        <v>92</v>
      </c>
      <c r="I19" s="101"/>
      <c r="J19" s="110" t="s">
        <v>41</v>
      </c>
      <c r="K19" s="101"/>
      <c r="L19" s="111"/>
      <c r="N19" s="109" t="s">
        <v>112</v>
      </c>
      <c r="O19" s="101"/>
      <c r="P19" s="110" t="s">
        <v>41</v>
      </c>
      <c r="Q19" s="101"/>
      <c r="R19" s="111"/>
      <c r="T19" s="95"/>
      <c r="V19" s="95"/>
    </row>
    <row r="20" spans="2:22" ht="24" customHeight="1" x14ac:dyDescent="0.55000000000000004">
      <c r="B20" s="126">
        <f>★試算★!K34</f>
        <v>0</v>
      </c>
      <c r="C20" s="101" t="s">
        <v>93</v>
      </c>
      <c r="D20" s="156">
        <f>医療所得割率</f>
        <v>6.9000000000000006E-2</v>
      </c>
      <c r="E20" s="101" t="s">
        <v>94</v>
      </c>
      <c r="F20" s="127">
        <f>ROUNDDOWN(★試算★!K34*医療所得割率,0)</f>
        <v>0</v>
      </c>
      <c r="H20" s="126">
        <f>★試算★!K34</f>
        <v>0</v>
      </c>
      <c r="I20" s="101" t="s">
        <v>93</v>
      </c>
      <c r="J20" s="156">
        <f>支援所得割率</f>
        <v>2.5999999999999999E-2</v>
      </c>
      <c r="K20" s="101" t="s">
        <v>94</v>
      </c>
      <c r="L20" s="127">
        <f>ROUNDDOWN(★試算★!K34*支援所得割率,0)</f>
        <v>0</v>
      </c>
      <c r="N20" s="126">
        <f>★試算★!L34</f>
        <v>0</v>
      </c>
      <c r="O20" s="101" t="s">
        <v>93</v>
      </c>
      <c r="P20" s="156">
        <f>介護所得割率</f>
        <v>2.1000000000000001E-2</v>
      </c>
      <c r="Q20" s="101" t="s">
        <v>94</v>
      </c>
      <c r="R20" s="127">
        <f>ROUNDDOWN(★試算★!L34*介護所得割率,0)</f>
        <v>0</v>
      </c>
      <c r="T20" s="95"/>
      <c r="V20" s="95"/>
    </row>
    <row r="21" spans="2:22" ht="24" customHeight="1" x14ac:dyDescent="0.55000000000000004">
      <c r="B21" s="114" t="s">
        <v>96</v>
      </c>
      <c r="C21" s="98"/>
      <c r="D21" s="98"/>
      <c r="E21" s="98"/>
      <c r="F21" s="111"/>
      <c r="H21" s="114" t="s">
        <v>96</v>
      </c>
      <c r="I21" s="101"/>
      <c r="J21" s="98"/>
      <c r="K21" s="101"/>
      <c r="L21" s="111"/>
      <c r="N21" s="114" t="s">
        <v>96</v>
      </c>
      <c r="O21" s="101"/>
      <c r="P21" s="98"/>
      <c r="Q21" s="101"/>
      <c r="R21" s="111"/>
      <c r="T21" s="95"/>
      <c r="V21" s="95"/>
    </row>
    <row r="22" spans="2:22" ht="24" customHeight="1" x14ac:dyDescent="0.55000000000000004">
      <c r="B22" s="109" t="s">
        <v>97</v>
      </c>
      <c r="C22" s="101"/>
      <c r="D22" s="110" t="s">
        <v>104</v>
      </c>
      <c r="E22" s="98"/>
      <c r="F22" s="111"/>
      <c r="H22" s="109" t="s">
        <v>97</v>
      </c>
      <c r="I22" s="101"/>
      <c r="J22" s="110" t="s">
        <v>104</v>
      </c>
      <c r="K22" s="101"/>
      <c r="L22" s="111"/>
      <c r="N22" s="109" t="s">
        <v>97</v>
      </c>
      <c r="O22" s="101"/>
      <c r="P22" s="110" t="s">
        <v>103</v>
      </c>
      <c r="Q22" s="101"/>
      <c r="R22" s="111"/>
      <c r="T22" s="95"/>
      <c r="V22" s="95"/>
    </row>
    <row r="23" spans="2:22" ht="24" customHeight="1" x14ac:dyDescent="0.55000000000000004">
      <c r="B23" s="126">
        <f>医療均等割</f>
        <v>26000</v>
      </c>
      <c r="C23" s="101" t="s">
        <v>93</v>
      </c>
      <c r="D23" s="123">
        <f>F8-F11</f>
        <v>1</v>
      </c>
      <c r="E23" s="101" t="s">
        <v>94</v>
      </c>
      <c r="F23" s="122">
        <f>B23*D23</f>
        <v>26000</v>
      </c>
      <c r="H23" s="126">
        <f>支援均等割</f>
        <v>10000</v>
      </c>
      <c r="I23" s="101" t="s">
        <v>93</v>
      </c>
      <c r="J23" s="123">
        <f>F8-F11</f>
        <v>1</v>
      </c>
      <c r="K23" s="101" t="s">
        <v>94</v>
      </c>
      <c r="L23" s="122">
        <f>H23*J23</f>
        <v>10000</v>
      </c>
      <c r="N23" s="126">
        <f>介護均等割</f>
        <v>11000</v>
      </c>
      <c r="O23" s="101" t="s">
        <v>93</v>
      </c>
      <c r="P23" s="123">
        <f>F9</f>
        <v>1</v>
      </c>
      <c r="Q23" s="101" t="s">
        <v>94</v>
      </c>
      <c r="R23" s="131">
        <f>N23*P23</f>
        <v>11000</v>
      </c>
      <c r="T23" s="95"/>
      <c r="V23" s="95"/>
    </row>
    <row r="24" spans="2:22" ht="24" customHeight="1" x14ac:dyDescent="0.55000000000000004">
      <c r="B24" s="109" t="s">
        <v>98</v>
      </c>
      <c r="C24" s="101"/>
      <c r="D24" s="110" t="s">
        <v>105</v>
      </c>
      <c r="E24" s="98"/>
      <c r="F24" s="111"/>
      <c r="H24" s="109" t="s">
        <v>98</v>
      </c>
      <c r="I24" s="101"/>
      <c r="J24" s="110" t="s">
        <v>105</v>
      </c>
      <c r="K24" s="101"/>
      <c r="L24" s="111"/>
      <c r="N24" s="109"/>
      <c r="O24" s="101"/>
      <c r="P24" s="110"/>
      <c r="Q24" s="101"/>
      <c r="R24" s="111"/>
      <c r="T24" s="95"/>
      <c r="V24" s="95"/>
    </row>
    <row r="25" spans="2:22" ht="24" customHeight="1" x14ac:dyDescent="0.55000000000000004">
      <c r="B25" s="126">
        <f>医療均等割/2</f>
        <v>13000</v>
      </c>
      <c r="C25" s="101" t="s">
        <v>93</v>
      </c>
      <c r="D25" s="123">
        <f>F11</f>
        <v>0</v>
      </c>
      <c r="E25" s="101" t="s">
        <v>94</v>
      </c>
      <c r="F25" s="122">
        <f>B25*D25</f>
        <v>0</v>
      </c>
      <c r="H25" s="126">
        <f>支援均等割/2</f>
        <v>5000</v>
      </c>
      <c r="I25" s="101" t="s">
        <v>93</v>
      </c>
      <c r="J25" s="123">
        <f>F11</f>
        <v>0</v>
      </c>
      <c r="K25" s="101" t="s">
        <v>94</v>
      </c>
      <c r="L25" s="122">
        <f>H25*J25</f>
        <v>0</v>
      </c>
      <c r="N25" s="112"/>
      <c r="O25" s="101"/>
      <c r="P25" s="115"/>
      <c r="Q25" s="101"/>
      <c r="R25" s="113"/>
      <c r="T25" s="95"/>
      <c r="V25" s="95"/>
    </row>
    <row r="26" spans="2:22" ht="24" customHeight="1" x14ac:dyDescent="0.55000000000000004">
      <c r="B26" s="109"/>
      <c r="C26" s="101"/>
      <c r="D26" s="98"/>
      <c r="E26" s="98"/>
      <c r="F26" s="111"/>
      <c r="H26" s="109"/>
      <c r="I26" s="101"/>
      <c r="J26" s="98"/>
      <c r="K26" s="101"/>
      <c r="L26" s="111"/>
      <c r="N26" s="109"/>
      <c r="O26" s="101"/>
      <c r="P26" s="98"/>
      <c r="Q26" s="101"/>
      <c r="R26" s="111"/>
      <c r="T26" s="95"/>
      <c r="V26" s="95"/>
    </row>
    <row r="27" spans="2:22" ht="24" customHeight="1" x14ac:dyDescent="0.55000000000000004">
      <c r="B27" s="125">
        <f>F23</f>
        <v>26000</v>
      </c>
      <c r="C27" s="101" t="s">
        <v>99</v>
      </c>
      <c r="D27" s="124">
        <f>F25</f>
        <v>0</v>
      </c>
      <c r="E27" s="101" t="s">
        <v>94</v>
      </c>
      <c r="F27" s="128">
        <f>SUM(F23,F25)</f>
        <v>26000</v>
      </c>
      <c r="H27" s="125">
        <f>L23</f>
        <v>10000</v>
      </c>
      <c r="I27" s="101" t="s">
        <v>99</v>
      </c>
      <c r="J27" s="124">
        <f>L25</f>
        <v>0</v>
      </c>
      <c r="K27" s="101" t="s">
        <v>94</v>
      </c>
      <c r="L27" s="128">
        <f>SUM(L23,L25)</f>
        <v>10000</v>
      </c>
      <c r="N27" s="116"/>
      <c r="O27" s="101"/>
      <c r="P27" s="117"/>
      <c r="Q27" s="101"/>
      <c r="R27" s="118"/>
      <c r="T27" s="95"/>
      <c r="V27" s="95"/>
    </row>
    <row r="28" spans="2:22" ht="24" customHeight="1" x14ac:dyDescent="0.55000000000000004">
      <c r="B28" s="114" t="s">
        <v>100</v>
      </c>
      <c r="C28" s="101"/>
      <c r="D28" s="98"/>
      <c r="E28" s="98"/>
      <c r="F28" s="111"/>
      <c r="H28" s="114" t="s">
        <v>100</v>
      </c>
      <c r="I28" s="101"/>
      <c r="J28" s="98"/>
      <c r="K28" s="101"/>
      <c r="L28" s="111"/>
      <c r="N28" s="114" t="s">
        <v>100</v>
      </c>
      <c r="O28" s="101"/>
      <c r="P28" s="98"/>
      <c r="Q28" s="101"/>
      <c r="R28" s="111"/>
      <c r="T28" s="95"/>
      <c r="V28" s="95"/>
    </row>
    <row r="29" spans="2:22" ht="24" customHeight="1" x14ac:dyDescent="0.55000000000000004">
      <c r="B29" s="109" t="s">
        <v>101</v>
      </c>
      <c r="C29" s="98"/>
      <c r="D29" s="98"/>
      <c r="E29" s="98"/>
      <c r="F29" s="129">
        <f>医療平等割</f>
        <v>20500</v>
      </c>
      <c r="H29" s="109" t="s">
        <v>101</v>
      </c>
      <c r="I29" s="101"/>
      <c r="J29" s="98"/>
      <c r="K29" s="101"/>
      <c r="L29" s="129">
        <f>支援平等割</f>
        <v>7500</v>
      </c>
      <c r="N29" s="109" t="s">
        <v>106</v>
      </c>
      <c r="O29" s="101"/>
      <c r="P29" s="98"/>
      <c r="Q29" s="101"/>
      <c r="R29" s="129">
        <f>介護平等割</f>
        <v>6100</v>
      </c>
      <c r="T29" s="95"/>
      <c r="V29" s="95"/>
    </row>
    <row r="30" spans="2:22" ht="24" customHeight="1" x14ac:dyDescent="0.55000000000000004">
      <c r="B30" s="119"/>
      <c r="C30" s="120"/>
      <c r="D30" s="120"/>
      <c r="E30" s="120"/>
      <c r="F30" s="121"/>
      <c r="H30" s="119"/>
      <c r="I30" s="133"/>
      <c r="J30" s="120"/>
      <c r="K30" s="133"/>
      <c r="L30" s="121"/>
      <c r="N30" s="119"/>
      <c r="O30" s="133"/>
      <c r="P30" s="120"/>
      <c r="Q30" s="133"/>
      <c r="R30" s="121"/>
      <c r="T30" s="95"/>
      <c r="V30" s="95"/>
    </row>
    <row r="31" spans="2:22" ht="24" customHeight="1" x14ac:dyDescent="0.55000000000000004">
      <c r="I31" s="89"/>
      <c r="K31" s="89"/>
      <c r="N31" s="95"/>
      <c r="O31" s="89"/>
      <c r="P31" s="95"/>
      <c r="Q31" s="89"/>
      <c r="T31" s="95"/>
      <c r="V31" s="95"/>
    </row>
    <row r="32" spans="2:22" ht="24" customHeight="1" x14ac:dyDescent="0.55000000000000004">
      <c r="B32" s="102" t="str">
        <f>"①＋②＋③（100円未満切り捨て、限度額"&amp;TEXT(医療限度額,"#,##")&amp;"円）"</f>
        <v>①＋②＋③（100円未満切り捨て、限度額660,000円）</v>
      </c>
      <c r="C32" s="103"/>
      <c r="D32" s="103"/>
      <c r="E32" s="103"/>
      <c r="F32" s="104"/>
      <c r="H32" s="102" t="str">
        <f>"④＋⑤＋⑥（100円未満切り捨て、限度額"&amp;TEXT(支援限度額,"#,##")&amp;"円）"</f>
        <v>④＋⑤＋⑥（100円未満切り捨て、限度額260,000円）</v>
      </c>
      <c r="I32" s="134"/>
      <c r="J32" s="103"/>
      <c r="K32" s="134"/>
      <c r="L32" s="104"/>
      <c r="N32" s="102" t="str">
        <f>"⑦＋⑧＋⑨（100円未満切り捨て、限度額"&amp;TEXT(介護限度額,"#,##")&amp;"円）"</f>
        <v>⑦＋⑧＋⑨（100円未満切り捨て、限度額170,000円）</v>
      </c>
      <c r="O32" s="134"/>
      <c r="P32" s="103"/>
      <c r="Q32" s="134"/>
      <c r="R32" s="104"/>
      <c r="T32" s="95"/>
      <c r="V32" s="95"/>
    </row>
    <row r="33" spans="2:22" ht="40" customHeight="1" x14ac:dyDescent="0.55000000000000004">
      <c r="B33" s="105" t="str">
        <f>TEXT(F20,"0,#")&amp;" ＋ "&amp;TEXT(F27,"0,#")&amp;" ＋ "&amp;TEXT(F29,"0,#")</f>
        <v>0 ＋ 26,000 ＋ 20,500</v>
      </c>
      <c r="C33" s="100"/>
      <c r="D33" s="100"/>
      <c r="E33" s="135" t="s">
        <v>102</v>
      </c>
      <c r="F33" s="130">
        <f>MIN(ROUNDDOWN(SUM(F20,F27,F29),-2),医療限度額)</f>
        <v>46500</v>
      </c>
      <c r="H33" s="105" t="str">
        <f>TEXT(L20,"#,#")&amp;" ＋ "&amp;TEXT(L27,"#,#")&amp;" ＋ "&amp;TEXT(L29,"#,#")</f>
        <v xml:space="preserve"> ＋ 10,000 ＋ 7,500</v>
      </c>
      <c r="I33" s="135"/>
      <c r="J33" s="100"/>
      <c r="K33" s="135" t="s">
        <v>102</v>
      </c>
      <c r="L33" s="130">
        <f>MIN(ROUNDDOWN(SUM(L20,L27,L29),-2),支援限度額)</f>
        <v>17500</v>
      </c>
      <c r="N33" s="105" t="str">
        <f>TEXT(R20,"0,#")&amp;" ＋ "&amp;TEXT(R23,"0,#")&amp;" ＋ "&amp;TEXT(R29,"0,#")</f>
        <v>0 ＋ 11,000 ＋ 6,100</v>
      </c>
      <c r="O33" s="135"/>
      <c r="P33" s="100"/>
      <c r="Q33" s="135" t="s">
        <v>102</v>
      </c>
      <c r="R33" s="130">
        <f>MIN(ROUNDDOWN(SUM(R20,R23,R29),-2),介護限度額)</f>
        <v>17100</v>
      </c>
      <c r="T33" s="95"/>
      <c r="V33" s="95"/>
    </row>
    <row r="34" spans="2:22" ht="24" customHeight="1" x14ac:dyDescent="0.55000000000000004">
      <c r="I34" s="89"/>
      <c r="K34" s="89"/>
      <c r="N34" s="95"/>
      <c r="O34" s="89"/>
      <c r="P34" s="95"/>
      <c r="Q34" s="89"/>
      <c r="T34" s="95"/>
      <c r="V34" s="95"/>
    </row>
    <row r="35" spans="2:22" ht="24" customHeight="1" x14ac:dyDescent="0.55000000000000004">
      <c r="B35" s="136" t="s">
        <v>111</v>
      </c>
      <c r="C35" s="137"/>
      <c r="D35" s="137"/>
      <c r="E35" s="137"/>
      <c r="F35" s="138"/>
      <c r="I35" s="89"/>
      <c r="K35" s="89"/>
      <c r="N35" s="95"/>
      <c r="O35" s="89"/>
      <c r="P35" s="95"/>
      <c r="Q35" s="89"/>
      <c r="T35" s="95"/>
      <c r="V35" s="95"/>
    </row>
    <row r="36" spans="2:22" ht="40" customHeight="1" x14ac:dyDescent="0.55000000000000004">
      <c r="B36" s="139" t="str">
        <f>TEXT(F33,"0,#")&amp;" ＋ "&amp;TEXT(L33,"0,#")&amp;" ＋ "&amp;TEXT(R33,"0,#")</f>
        <v>46,500 ＋ 17,500 ＋ 17,100</v>
      </c>
      <c r="C36" s="99"/>
      <c r="D36" s="99"/>
      <c r="E36" s="140" t="s">
        <v>102</v>
      </c>
      <c r="F36" s="141">
        <f>SUM(F33,L33,R33)</f>
        <v>81100</v>
      </c>
      <c r="H36" s="43" t="str">
        <f>"（1か月あたり"&amp;TEXT(F36/12,"#,#0")&amp;"円）"</f>
        <v>（1か月あたり6,758円）</v>
      </c>
      <c r="I36" s="89"/>
      <c r="K36" s="89"/>
      <c r="N36" s="95"/>
      <c r="O36" s="89"/>
      <c r="P36" s="95"/>
      <c r="Q36" s="89"/>
      <c r="T36" s="95"/>
      <c r="V36" s="95"/>
    </row>
    <row r="37" spans="2:22" ht="24" customHeight="1" x14ac:dyDescent="0.55000000000000004">
      <c r="B37" s="43"/>
      <c r="C37"/>
      <c r="D37"/>
      <c r="E37"/>
      <c r="F37"/>
      <c r="I37" s="89"/>
      <c r="K37" s="89"/>
      <c r="N37" s="95"/>
      <c r="O37" s="89"/>
      <c r="P37" s="95"/>
      <c r="Q37" s="89"/>
      <c r="T37" s="95"/>
      <c r="V37" s="95"/>
    </row>
  </sheetData>
  <sheetProtection algorithmName="SHA-512" hashValue="GDslEmKV5CzeijNkyPlbg+o9Ms1BGdp6pLwGuumZ7TnmHJFvjYCJJxy5SSpqktXqstJL8scE8tk9Qu9wTa0iVQ==" saltValue="rwZlG3uf1CSmIIh78LFP7g==" spinCount="100000" sheet="1" selectLockedCells="1" selectUnlockedCells="1"/>
  <mergeCells count="23">
    <mergeCell ref="L12:M12"/>
    <mergeCell ref="L13:M13"/>
    <mergeCell ref="N9:O9"/>
    <mergeCell ref="N10:O10"/>
    <mergeCell ref="N11:O11"/>
    <mergeCell ref="N12:O12"/>
    <mergeCell ref="N13:O13"/>
    <mergeCell ref="B17:F17"/>
    <mergeCell ref="H17:L17"/>
    <mergeCell ref="N17:R17"/>
    <mergeCell ref="H9:I9"/>
    <mergeCell ref="H10:I10"/>
    <mergeCell ref="H11:I11"/>
    <mergeCell ref="H12:I12"/>
    <mergeCell ref="H13:I13"/>
    <mergeCell ref="J9:K9"/>
    <mergeCell ref="J10:K10"/>
    <mergeCell ref="J11:K11"/>
    <mergeCell ref="J12:K12"/>
    <mergeCell ref="J13:K13"/>
    <mergeCell ref="L9:M9"/>
    <mergeCell ref="L10:M10"/>
    <mergeCell ref="L11:M11"/>
  </mergeCells>
  <phoneticPr fontId="1"/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theme="0" tint="-0.249977111117893"/>
  </sheetPr>
  <dimension ref="A1:R32"/>
  <sheetViews>
    <sheetView zoomScaleNormal="100" workbookViewId="0">
      <selection activeCell="E4" sqref="E4"/>
    </sheetView>
  </sheetViews>
  <sheetFormatPr defaultColWidth="10.58203125" defaultRowHeight="18" x14ac:dyDescent="0.55000000000000004"/>
  <cols>
    <col min="1" max="16384" width="10.58203125" style="2"/>
  </cols>
  <sheetData>
    <row r="1" spans="1:16" x14ac:dyDescent="0.55000000000000004">
      <c r="A1" s="1"/>
      <c r="B1" s="34">
        <v>1</v>
      </c>
      <c r="C1" s="34">
        <v>2</v>
      </c>
      <c r="D1" s="34">
        <v>3</v>
      </c>
      <c r="E1" s="34">
        <v>4</v>
      </c>
      <c r="F1" s="34">
        <v>5</v>
      </c>
      <c r="G1" s="34">
        <v>6</v>
      </c>
      <c r="H1" s="34">
        <v>7</v>
      </c>
      <c r="I1" s="34">
        <v>8</v>
      </c>
      <c r="J1" s="34">
        <v>9</v>
      </c>
      <c r="K1" s="34">
        <v>10</v>
      </c>
    </row>
    <row r="2" spans="1:16" x14ac:dyDescent="0.55000000000000004">
      <c r="A2" s="1"/>
      <c r="B2" s="10">
        <f>VLOOKUP(D6,$B$19:I29,COLUMNS($B$18:I18),FALSE)</f>
        <v>0</v>
      </c>
      <c r="C2" s="10">
        <f>VLOOKUP(D7,$B$19:J29,COLUMNS($B$18:J18),FALSE)</f>
        <v>0</v>
      </c>
      <c r="D2" s="10">
        <f>VLOOKUP(D8,$B$19:K29,COLUMNS($B$18:K18),FALSE)</f>
        <v>0</v>
      </c>
      <c r="E2" s="10">
        <f>VLOOKUP(D9,$B$19:L29,COLUMNS($B$18:L18),FALSE)</f>
        <v>0</v>
      </c>
      <c r="F2" s="10">
        <f>VLOOKUP(D10,$B$19:M29,COLUMNS($B$18:M18),FALSE)</f>
        <v>0</v>
      </c>
      <c r="G2" s="10">
        <f>VLOOKUP(D11,$B$19:N29,COLUMNS($B$18:N18),FALSE)</f>
        <v>0</v>
      </c>
      <c r="H2" s="10">
        <f>VLOOKUP(D12,$B$19:O29,COLUMNS($B$18:O18),FALSE)</f>
        <v>0</v>
      </c>
      <c r="I2" s="10">
        <f>VLOOKUP(D13,$B$19:P29,COLUMNS($B$18:P18),FALSE)</f>
        <v>0</v>
      </c>
      <c r="J2" s="10">
        <f>VLOOKUP(D14,$B$19:Q29,COLUMNS($B$18:Q18),FALSE)</f>
        <v>0</v>
      </c>
      <c r="K2" s="10">
        <f>VLOOKUP(D15,$B$19:R29,COLUMNS($B$18:R18),FALSE)</f>
        <v>0</v>
      </c>
    </row>
    <row r="3" spans="1:16" ht="18.5" thickBot="1" x14ac:dyDescent="0.6">
      <c r="B3" s="32" t="s">
        <v>24</v>
      </c>
    </row>
    <row r="4" spans="1:16" x14ac:dyDescent="0.55000000000000004">
      <c r="B4" s="26"/>
      <c r="C4" s="13"/>
      <c r="D4" s="13"/>
      <c r="E4" s="13" t="s">
        <v>4</v>
      </c>
      <c r="F4" s="14">
        <f>IF(年度&gt;2020,550999,650999)</f>
        <v>550999</v>
      </c>
      <c r="G4" s="14">
        <v>1618999</v>
      </c>
      <c r="H4" s="14">
        <v>1619999</v>
      </c>
      <c r="I4" s="14">
        <v>1621999</v>
      </c>
      <c r="J4" s="14">
        <v>1623999</v>
      </c>
      <c r="K4" s="14">
        <v>1627999</v>
      </c>
      <c r="L4" s="14">
        <v>1799999</v>
      </c>
      <c r="M4" s="14">
        <v>3599999</v>
      </c>
      <c r="N4" s="14">
        <v>6599999</v>
      </c>
      <c r="O4" s="14">
        <f>IF(年度&gt;2020,8499999,9999999)</f>
        <v>8499999</v>
      </c>
      <c r="P4" s="15"/>
    </row>
    <row r="5" spans="1:16" x14ac:dyDescent="0.55000000000000004">
      <c r="B5" s="16"/>
      <c r="C5" s="17" t="s">
        <v>10</v>
      </c>
      <c r="D5" s="17" t="s">
        <v>11</v>
      </c>
      <c r="E5" s="17" t="s">
        <v>3</v>
      </c>
      <c r="F5" s="18">
        <v>0</v>
      </c>
      <c r="G5" s="18">
        <f>F4+1</f>
        <v>551000</v>
      </c>
      <c r="H5" s="18">
        <v>1619000</v>
      </c>
      <c r="I5" s="18">
        <v>1620000</v>
      </c>
      <c r="J5" s="18">
        <v>1622000</v>
      </c>
      <c r="K5" s="18">
        <v>1624000</v>
      </c>
      <c r="L5" s="18">
        <v>1628000</v>
      </c>
      <c r="M5" s="18">
        <v>1800000</v>
      </c>
      <c r="N5" s="18">
        <v>3600000</v>
      </c>
      <c r="O5" s="18">
        <v>6600000</v>
      </c>
      <c r="P5" s="19">
        <f>O4+1</f>
        <v>8500000</v>
      </c>
    </row>
    <row r="6" spans="1:16" x14ac:dyDescent="0.55000000000000004">
      <c r="B6" s="31">
        <v>1</v>
      </c>
      <c r="C6" s="4">
        <f>★試算★!D24</f>
        <v>0</v>
      </c>
      <c r="D6" s="27" t="str">
        <f>HLOOKUP(TRUE,$F6:$P$16,ROWS(D6:$D$16),FALSE)</f>
        <v>区分1</v>
      </c>
      <c r="E6" s="3"/>
      <c r="F6" s="3" t="b">
        <f t="shared" ref="F6:F8" si="0">$C6&lt;=F$4</f>
        <v>1</v>
      </c>
      <c r="G6" s="3" t="b">
        <f t="shared" ref="G6:O15" si="1">AND(G$5&lt;=$C6,$C6&lt;=G$4)</f>
        <v>0</v>
      </c>
      <c r="H6" s="3" t="b">
        <f t="shared" si="1"/>
        <v>0</v>
      </c>
      <c r="I6" s="3" t="b">
        <f t="shared" si="1"/>
        <v>0</v>
      </c>
      <c r="J6" s="3" t="b">
        <f t="shared" si="1"/>
        <v>0</v>
      </c>
      <c r="K6" s="3" t="b">
        <f t="shared" si="1"/>
        <v>0</v>
      </c>
      <c r="L6" s="3" t="b">
        <f t="shared" si="1"/>
        <v>0</v>
      </c>
      <c r="M6" s="3" t="b">
        <f t="shared" si="1"/>
        <v>0</v>
      </c>
      <c r="N6" s="3" t="b">
        <f t="shared" si="1"/>
        <v>0</v>
      </c>
      <c r="O6" s="3" t="b">
        <f t="shared" si="1"/>
        <v>0</v>
      </c>
      <c r="P6" s="6" t="b">
        <f>P$5&lt;=$C6</f>
        <v>0</v>
      </c>
    </row>
    <row r="7" spans="1:16" x14ac:dyDescent="0.55000000000000004">
      <c r="B7" s="31">
        <v>2</v>
      </c>
      <c r="C7" s="4">
        <f>★試算★!D25</f>
        <v>0</v>
      </c>
      <c r="D7" s="27" t="str">
        <f>HLOOKUP(TRUE,$F7:$P$16,ROWS(D7:$D$16),FALSE)</f>
        <v>区分1</v>
      </c>
      <c r="E7" s="3"/>
      <c r="F7" s="3" t="b">
        <f t="shared" si="0"/>
        <v>1</v>
      </c>
      <c r="G7" s="3" t="b">
        <f t="shared" si="1"/>
        <v>0</v>
      </c>
      <c r="H7" s="3" t="b">
        <f t="shared" si="1"/>
        <v>0</v>
      </c>
      <c r="I7" s="3" t="b">
        <f t="shared" si="1"/>
        <v>0</v>
      </c>
      <c r="J7" s="3" t="b">
        <f t="shared" si="1"/>
        <v>0</v>
      </c>
      <c r="K7" s="3" t="b">
        <f t="shared" si="1"/>
        <v>0</v>
      </c>
      <c r="L7" s="3" t="b">
        <f t="shared" si="1"/>
        <v>0</v>
      </c>
      <c r="M7" s="3" t="b">
        <f t="shared" si="1"/>
        <v>0</v>
      </c>
      <c r="N7" s="3" t="b">
        <f t="shared" si="1"/>
        <v>0</v>
      </c>
      <c r="O7" s="3" t="b">
        <f t="shared" si="1"/>
        <v>0</v>
      </c>
      <c r="P7" s="6" t="b">
        <f>P$5&lt;=$C7</f>
        <v>0</v>
      </c>
    </row>
    <row r="8" spans="1:16" x14ac:dyDescent="0.55000000000000004">
      <c r="B8" s="31">
        <v>3</v>
      </c>
      <c r="C8" s="4">
        <f>★試算★!D26</f>
        <v>0</v>
      </c>
      <c r="D8" s="27" t="str">
        <f>HLOOKUP(TRUE,$F8:$P$16,ROWS(D8:$D$16),FALSE)</f>
        <v>区分1</v>
      </c>
      <c r="E8" s="3"/>
      <c r="F8" s="3" t="b">
        <f t="shared" si="0"/>
        <v>1</v>
      </c>
      <c r="G8" s="3" t="b">
        <f t="shared" si="1"/>
        <v>0</v>
      </c>
      <c r="H8" s="3" t="b">
        <f t="shared" si="1"/>
        <v>0</v>
      </c>
      <c r="I8" s="3" t="b">
        <f t="shared" si="1"/>
        <v>0</v>
      </c>
      <c r="J8" s="3" t="b">
        <f t="shared" si="1"/>
        <v>0</v>
      </c>
      <c r="K8" s="3" t="b">
        <f t="shared" si="1"/>
        <v>0</v>
      </c>
      <c r="L8" s="3" t="b">
        <f t="shared" si="1"/>
        <v>0</v>
      </c>
      <c r="M8" s="3" t="b">
        <f t="shared" si="1"/>
        <v>0</v>
      </c>
      <c r="N8" s="3" t="b">
        <f t="shared" si="1"/>
        <v>0</v>
      </c>
      <c r="O8" s="3" t="b">
        <f t="shared" si="1"/>
        <v>0</v>
      </c>
      <c r="P8" s="6" t="b">
        <f>P$5&lt;=$C8</f>
        <v>0</v>
      </c>
    </row>
    <row r="9" spans="1:16" x14ac:dyDescent="0.55000000000000004">
      <c r="B9" s="31">
        <v>4</v>
      </c>
      <c r="C9" s="4">
        <f>★試算★!D27</f>
        <v>0</v>
      </c>
      <c r="D9" s="27" t="str">
        <f>HLOOKUP(TRUE,$F9:$P$16,ROWS(D9:$D$16),FALSE)</f>
        <v>区分1</v>
      </c>
      <c r="E9" s="3"/>
      <c r="F9" s="3" t="b">
        <f>$C9&lt;=F$4</f>
        <v>1</v>
      </c>
      <c r="G9" s="3" t="b">
        <f t="shared" si="1"/>
        <v>0</v>
      </c>
      <c r="H9" s="3" t="b">
        <f t="shared" si="1"/>
        <v>0</v>
      </c>
      <c r="I9" s="3" t="b">
        <f t="shared" si="1"/>
        <v>0</v>
      </c>
      <c r="J9" s="3" t="b">
        <f t="shared" si="1"/>
        <v>0</v>
      </c>
      <c r="K9" s="3" t="b">
        <f t="shared" si="1"/>
        <v>0</v>
      </c>
      <c r="L9" s="3" t="b">
        <f t="shared" si="1"/>
        <v>0</v>
      </c>
      <c r="M9" s="3" t="b">
        <f t="shared" si="1"/>
        <v>0</v>
      </c>
      <c r="N9" s="3" t="b">
        <f t="shared" si="1"/>
        <v>0</v>
      </c>
      <c r="O9" s="3" t="b">
        <f t="shared" si="1"/>
        <v>0</v>
      </c>
      <c r="P9" s="6" t="b">
        <f>P$5&lt;=$C9</f>
        <v>0</v>
      </c>
    </row>
    <row r="10" spans="1:16" x14ac:dyDescent="0.55000000000000004">
      <c r="B10" s="31">
        <v>5</v>
      </c>
      <c r="C10" s="4">
        <f>★試算★!D28</f>
        <v>0</v>
      </c>
      <c r="D10" s="27" t="str">
        <f>HLOOKUP(TRUE,$F10:$P$16,ROWS(D10:$D$16),FALSE)</f>
        <v>区分1</v>
      </c>
      <c r="E10" s="3"/>
      <c r="F10" s="3" t="b">
        <f>$C10&lt;=F$4</f>
        <v>1</v>
      </c>
      <c r="G10" s="3" t="b">
        <f t="shared" si="1"/>
        <v>0</v>
      </c>
      <c r="H10" s="3" t="b">
        <f t="shared" si="1"/>
        <v>0</v>
      </c>
      <c r="I10" s="3" t="b">
        <f t="shared" si="1"/>
        <v>0</v>
      </c>
      <c r="J10" s="3" t="b">
        <f t="shared" si="1"/>
        <v>0</v>
      </c>
      <c r="K10" s="3" t="b">
        <f t="shared" si="1"/>
        <v>0</v>
      </c>
      <c r="L10" s="3" t="b">
        <f t="shared" si="1"/>
        <v>0</v>
      </c>
      <c r="M10" s="3" t="b">
        <f t="shared" si="1"/>
        <v>0</v>
      </c>
      <c r="N10" s="3" t="b">
        <f t="shared" si="1"/>
        <v>0</v>
      </c>
      <c r="O10" s="3" t="b">
        <f t="shared" si="1"/>
        <v>0</v>
      </c>
      <c r="P10" s="6" t="b">
        <f>P$5&lt;=$C10</f>
        <v>0</v>
      </c>
    </row>
    <row r="11" spans="1:16" x14ac:dyDescent="0.55000000000000004">
      <c r="B11" s="31">
        <v>6</v>
      </c>
      <c r="C11" s="4">
        <f>★試算★!D29</f>
        <v>0</v>
      </c>
      <c r="D11" s="27" t="str">
        <f>HLOOKUP(TRUE,$F11:$P$16,ROWS(D11:$D$16),FALSE)</f>
        <v>区分1</v>
      </c>
      <c r="E11" s="3"/>
      <c r="F11" s="3" t="b">
        <f t="shared" ref="F11:F15" si="2">$C11&lt;=F$4</f>
        <v>1</v>
      </c>
      <c r="G11" s="3" t="b">
        <f t="shared" si="1"/>
        <v>0</v>
      </c>
      <c r="H11" s="3" t="b">
        <f t="shared" si="1"/>
        <v>0</v>
      </c>
      <c r="I11" s="3" t="b">
        <f t="shared" si="1"/>
        <v>0</v>
      </c>
      <c r="J11" s="3" t="b">
        <f t="shared" si="1"/>
        <v>0</v>
      </c>
      <c r="K11" s="3" t="b">
        <f t="shared" si="1"/>
        <v>0</v>
      </c>
      <c r="L11" s="3" t="b">
        <f t="shared" si="1"/>
        <v>0</v>
      </c>
      <c r="M11" s="3" t="b">
        <f t="shared" si="1"/>
        <v>0</v>
      </c>
      <c r="N11" s="3" t="b">
        <f t="shared" si="1"/>
        <v>0</v>
      </c>
      <c r="O11" s="3" t="b">
        <f t="shared" si="1"/>
        <v>0</v>
      </c>
      <c r="P11" s="6" t="b">
        <f t="shared" ref="P11:P15" si="3">P$5&lt;=$C11</f>
        <v>0</v>
      </c>
    </row>
    <row r="12" spans="1:16" x14ac:dyDescent="0.55000000000000004">
      <c r="B12" s="31">
        <v>7</v>
      </c>
      <c r="C12" s="4">
        <f>★試算★!D30</f>
        <v>0</v>
      </c>
      <c r="D12" s="27" t="str">
        <f>HLOOKUP(TRUE,$F12:$P$16,ROWS(D12:$D$16),FALSE)</f>
        <v>区分1</v>
      </c>
      <c r="E12" s="3"/>
      <c r="F12" s="3" t="b">
        <f t="shared" si="2"/>
        <v>1</v>
      </c>
      <c r="G12" s="3" t="b">
        <f t="shared" si="1"/>
        <v>0</v>
      </c>
      <c r="H12" s="3" t="b">
        <f t="shared" si="1"/>
        <v>0</v>
      </c>
      <c r="I12" s="3" t="b">
        <f t="shared" si="1"/>
        <v>0</v>
      </c>
      <c r="J12" s="3" t="b">
        <f t="shared" si="1"/>
        <v>0</v>
      </c>
      <c r="K12" s="3" t="b">
        <f t="shared" si="1"/>
        <v>0</v>
      </c>
      <c r="L12" s="3" t="b">
        <f t="shared" si="1"/>
        <v>0</v>
      </c>
      <c r="M12" s="3" t="b">
        <f t="shared" si="1"/>
        <v>0</v>
      </c>
      <c r="N12" s="3" t="b">
        <f t="shared" si="1"/>
        <v>0</v>
      </c>
      <c r="O12" s="3" t="b">
        <f t="shared" si="1"/>
        <v>0</v>
      </c>
      <c r="P12" s="6" t="b">
        <f t="shared" si="3"/>
        <v>0</v>
      </c>
    </row>
    <row r="13" spans="1:16" x14ac:dyDescent="0.55000000000000004">
      <c r="B13" s="31">
        <v>8</v>
      </c>
      <c r="C13" s="4">
        <f>★試算★!D31</f>
        <v>0</v>
      </c>
      <c r="D13" s="27" t="str">
        <f>HLOOKUP(TRUE,$F13:$P$16,ROWS(D13:$D$16),FALSE)</f>
        <v>区分1</v>
      </c>
      <c r="E13" s="3"/>
      <c r="F13" s="3" t="b">
        <f t="shared" si="2"/>
        <v>1</v>
      </c>
      <c r="G13" s="3" t="b">
        <f t="shared" si="1"/>
        <v>0</v>
      </c>
      <c r="H13" s="3" t="b">
        <f t="shared" si="1"/>
        <v>0</v>
      </c>
      <c r="I13" s="3" t="b">
        <f t="shared" si="1"/>
        <v>0</v>
      </c>
      <c r="J13" s="3" t="b">
        <f t="shared" si="1"/>
        <v>0</v>
      </c>
      <c r="K13" s="3" t="b">
        <f t="shared" si="1"/>
        <v>0</v>
      </c>
      <c r="L13" s="3" t="b">
        <f t="shared" si="1"/>
        <v>0</v>
      </c>
      <c r="M13" s="3" t="b">
        <f t="shared" si="1"/>
        <v>0</v>
      </c>
      <c r="N13" s="3" t="b">
        <f t="shared" si="1"/>
        <v>0</v>
      </c>
      <c r="O13" s="3" t="b">
        <f t="shared" si="1"/>
        <v>0</v>
      </c>
      <c r="P13" s="6" t="b">
        <f t="shared" si="3"/>
        <v>0</v>
      </c>
    </row>
    <row r="14" spans="1:16" x14ac:dyDescent="0.55000000000000004">
      <c r="B14" s="31">
        <v>9</v>
      </c>
      <c r="C14" s="4">
        <f>★試算★!D32</f>
        <v>0</v>
      </c>
      <c r="D14" s="27" t="str">
        <f>HLOOKUP(TRUE,$F14:$P$16,ROWS(D14:$D$16),FALSE)</f>
        <v>区分1</v>
      </c>
      <c r="E14" s="3"/>
      <c r="F14" s="3" t="b">
        <f t="shared" si="2"/>
        <v>1</v>
      </c>
      <c r="G14" s="3" t="b">
        <f t="shared" si="1"/>
        <v>0</v>
      </c>
      <c r="H14" s="3" t="b">
        <f t="shared" si="1"/>
        <v>0</v>
      </c>
      <c r="I14" s="3" t="b">
        <f t="shared" si="1"/>
        <v>0</v>
      </c>
      <c r="J14" s="3" t="b">
        <f t="shared" si="1"/>
        <v>0</v>
      </c>
      <c r="K14" s="3" t="b">
        <f t="shared" si="1"/>
        <v>0</v>
      </c>
      <c r="L14" s="3" t="b">
        <f t="shared" si="1"/>
        <v>0</v>
      </c>
      <c r="M14" s="3" t="b">
        <f t="shared" si="1"/>
        <v>0</v>
      </c>
      <c r="N14" s="3" t="b">
        <f t="shared" si="1"/>
        <v>0</v>
      </c>
      <c r="O14" s="3" t="b">
        <f t="shared" si="1"/>
        <v>0</v>
      </c>
      <c r="P14" s="6" t="b">
        <f t="shared" si="3"/>
        <v>0</v>
      </c>
    </row>
    <row r="15" spans="1:16" x14ac:dyDescent="0.55000000000000004">
      <c r="B15" s="31">
        <v>10</v>
      </c>
      <c r="C15" s="4">
        <f>★試算★!D33</f>
        <v>0</v>
      </c>
      <c r="D15" s="27" t="str">
        <f>HLOOKUP(TRUE,$F15:$P$16,ROWS(D15:$D$16),FALSE)</f>
        <v>区分1</v>
      </c>
      <c r="E15" s="3"/>
      <c r="F15" s="3" t="b">
        <f t="shared" si="2"/>
        <v>1</v>
      </c>
      <c r="G15" s="3" t="b">
        <f t="shared" si="1"/>
        <v>0</v>
      </c>
      <c r="H15" s="3" t="b">
        <f t="shared" si="1"/>
        <v>0</v>
      </c>
      <c r="I15" s="3" t="b">
        <f t="shared" si="1"/>
        <v>0</v>
      </c>
      <c r="J15" s="3" t="b">
        <f t="shared" si="1"/>
        <v>0</v>
      </c>
      <c r="K15" s="3" t="b">
        <f t="shared" si="1"/>
        <v>0</v>
      </c>
      <c r="L15" s="3" t="b">
        <f t="shared" si="1"/>
        <v>0</v>
      </c>
      <c r="M15" s="3" t="b">
        <f t="shared" si="1"/>
        <v>0</v>
      </c>
      <c r="N15" s="3" t="b">
        <f t="shared" si="1"/>
        <v>0</v>
      </c>
      <c r="O15" s="3" t="b">
        <f t="shared" si="1"/>
        <v>0</v>
      </c>
      <c r="P15" s="6" t="b">
        <f t="shared" si="3"/>
        <v>0</v>
      </c>
    </row>
    <row r="16" spans="1:16" ht="18.5" thickBot="1" x14ac:dyDescent="0.6">
      <c r="B16" s="20"/>
      <c r="C16" s="21"/>
      <c r="D16" s="21"/>
      <c r="E16" s="21" t="s">
        <v>11</v>
      </c>
      <c r="F16" s="21" t="s">
        <v>12</v>
      </c>
      <c r="G16" s="21" t="s">
        <v>13</v>
      </c>
      <c r="H16" s="21" t="s">
        <v>14</v>
      </c>
      <c r="I16" s="21" t="s">
        <v>15</v>
      </c>
      <c r="J16" s="21" t="s">
        <v>16</v>
      </c>
      <c r="K16" s="21" t="s">
        <v>17</v>
      </c>
      <c r="L16" s="21" t="s">
        <v>18</v>
      </c>
      <c r="M16" s="21" t="s">
        <v>19</v>
      </c>
      <c r="N16" s="21" t="s">
        <v>20</v>
      </c>
      <c r="O16" s="21" t="s">
        <v>21</v>
      </c>
      <c r="P16" s="22" t="s">
        <v>22</v>
      </c>
    </row>
    <row r="17" spans="2:18" ht="18.5" thickBot="1" x14ac:dyDescent="0.6">
      <c r="B17" s="32" t="s">
        <v>23</v>
      </c>
    </row>
    <row r="18" spans="2:18" x14ac:dyDescent="0.55000000000000004">
      <c r="B18" s="36" t="s">
        <v>5</v>
      </c>
      <c r="C18" s="37" t="s">
        <v>6</v>
      </c>
      <c r="D18" s="37" t="s">
        <v>7</v>
      </c>
      <c r="E18" s="37" t="s">
        <v>8</v>
      </c>
      <c r="F18" s="38" t="s">
        <v>58</v>
      </c>
      <c r="G18" s="25" t="s">
        <v>25</v>
      </c>
      <c r="I18" s="35">
        <f>C6</f>
        <v>0</v>
      </c>
      <c r="J18" s="35">
        <f>C7</f>
        <v>0</v>
      </c>
      <c r="K18" s="35">
        <f>C8</f>
        <v>0</v>
      </c>
      <c r="L18" s="35">
        <f>C9</f>
        <v>0</v>
      </c>
      <c r="M18" s="35">
        <f>C10</f>
        <v>0</v>
      </c>
      <c r="N18" s="35">
        <f>C11</f>
        <v>0</v>
      </c>
      <c r="O18" s="35">
        <f>C12</f>
        <v>0</v>
      </c>
      <c r="P18" s="35">
        <f>C13</f>
        <v>0</v>
      </c>
      <c r="Q18" s="35">
        <f>C14</f>
        <v>0</v>
      </c>
      <c r="R18" s="35">
        <f>C15</f>
        <v>0</v>
      </c>
    </row>
    <row r="19" spans="2:18" x14ac:dyDescent="0.55000000000000004">
      <c r="B19" s="23" t="s">
        <v>12</v>
      </c>
      <c r="C19" s="7"/>
      <c r="D19" s="7"/>
      <c r="E19" s="7"/>
      <c r="F19" s="8"/>
      <c r="G19" s="5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0</v>
      </c>
    </row>
    <row r="20" spans="2:18" x14ac:dyDescent="0.55000000000000004">
      <c r="B20" s="23" t="s">
        <v>13</v>
      </c>
      <c r="C20" s="7"/>
      <c r="D20" s="7"/>
      <c r="E20" s="7"/>
      <c r="F20" s="8">
        <f>IF(年度&gt;2020,550000,650000)</f>
        <v>550000</v>
      </c>
      <c r="G20" s="5"/>
      <c r="I20" s="29">
        <f>I18-$F$20</f>
        <v>-550000</v>
      </c>
      <c r="J20" s="29">
        <f t="shared" ref="J20:R20" si="4">J18-$F$20</f>
        <v>-550000</v>
      </c>
      <c r="K20" s="29">
        <f t="shared" si="4"/>
        <v>-550000</v>
      </c>
      <c r="L20" s="29">
        <f t="shared" si="4"/>
        <v>-550000</v>
      </c>
      <c r="M20" s="29">
        <f t="shared" si="4"/>
        <v>-550000</v>
      </c>
      <c r="N20" s="29">
        <f t="shared" si="4"/>
        <v>-550000</v>
      </c>
      <c r="O20" s="29">
        <f t="shared" si="4"/>
        <v>-550000</v>
      </c>
      <c r="P20" s="29">
        <f t="shared" si="4"/>
        <v>-550000</v>
      </c>
      <c r="Q20" s="29">
        <f t="shared" si="4"/>
        <v>-550000</v>
      </c>
      <c r="R20" s="29">
        <f t="shared" si="4"/>
        <v>-550000</v>
      </c>
    </row>
    <row r="21" spans="2:18" x14ac:dyDescent="0.55000000000000004">
      <c r="B21" s="23" t="s">
        <v>14</v>
      </c>
      <c r="C21" s="7"/>
      <c r="D21" s="7"/>
      <c r="E21" s="7"/>
      <c r="F21" s="8"/>
      <c r="G21" s="5">
        <f>IF(年度&gt;2020,1069000,969000)</f>
        <v>1069000</v>
      </c>
      <c r="I21" s="29">
        <f>$G$21</f>
        <v>1069000</v>
      </c>
      <c r="J21" s="29">
        <f t="shared" ref="J21:R21" si="5">$G$21</f>
        <v>1069000</v>
      </c>
      <c r="K21" s="29">
        <f t="shared" si="5"/>
        <v>1069000</v>
      </c>
      <c r="L21" s="29">
        <f t="shared" si="5"/>
        <v>1069000</v>
      </c>
      <c r="M21" s="29">
        <f t="shared" si="5"/>
        <v>1069000</v>
      </c>
      <c r="N21" s="29">
        <f t="shared" si="5"/>
        <v>1069000</v>
      </c>
      <c r="O21" s="29">
        <f t="shared" si="5"/>
        <v>1069000</v>
      </c>
      <c r="P21" s="29">
        <f t="shared" si="5"/>
        <v>1069000</v>
      </c>
      <c r="Q21" s="29">
        <f t="shared" si="5"/>
        <v>1069000</v>
      </c>
      <c r="R21" s="29">
        <f t="shared" si="5"/>
        <v>1069000</v>
      </c>
    </row>
    <row r="22" spans="2:18" x14ac:dyDescent="0.55000000000000004">
      <c r="B22" s="23" t="s">
        <v>15</v>
      </c>
      <c r="C22" s="7"/>
      <c r="D22" s="7"/>
      <c r="E22" s="7"/>
      <c r="F22" s="8"/>
      <c r="G22" s="5">
        <f>IF(年度&gt;2020,1070000,970000)</f>
        <v>1070000</v>
      </c>
      <c r="I22" s="29">
        <f>$G$22</f>
        <v>1070000</v>
      </c>
      <c r="J22" s="29">
        <f t="shared" ref="J22:R22" si="6">$G$22</f>
        <v>1070000</v>
      </c>
      <c r="K22" s="29">
        <f t="shared" si="6"/>
        <v>1070000</v>
      </c>
      <c r="L22" s="29">
        <f t="shared" si="6"/>
        <v>1070000</v>
      </c>
      <c r="M22" s="29">
        <f t="shared" si="6"/>
        <v>1070000</v>
      </c>
      <c r="N22" s="29">
        <f t="shared" si="6"/>
        <v>1070000</v>
      </c>
      <c r="O22" s="29">
        <f t="shared" si="6"/>
        <v>1070000</v>
      </c>
      <c r="P22" s="29">
        <f t="shared" si="6"/>
        <v>1070000</v>
      </c>
      <c r="Q22" s="29">
        <f t="shared" si="6"/>
        <v>1070000</v>
      </c>
      <c r="R22" s="29">
        <f t="shared" si="6"/>
        <v>1070000</v>
      </c>
    </row>
    <row r="23" spans="2:18" x14ac:dyDescent="0.55000000000000004">
      <c r="B23" s="23" t="s">
        <v>16</v>
      </c>
      <c r="C23" s="7"/>
      <c r="D23" s="7"/>
      <c r="E23" s="7"/>
      <c r="F23" s="8"/>
      <c r="G23" s="5">
        <f>IF(年度&gt;2020,1072000,972000)</f>
        <v>1072000</v>
      </c>
      <c r="I23" s="29">
        <f>$G$23</f>
        <v>1072000</v>
      </c>
      <c r="J23" s="29">
        <f t="shared" ref="J23:R23" si="7">$G$23</f>
        <v>1072000</v>
      </c>
      <c r="K23" s="29">
        <f t="shared" si="7"/>
        <v>1072000</v>
      </c>
      <c r="L23" s="29">
        <f t="shared" si="7"/>
        <v>1072000</v>
      </c>
      <c r="M23" s="29">
        <f t="shared" si="7"/>
        <v>1072000</v>
      </c>
      <c r="N23" s="29">
        <f t="shared" si="7"/>
        <v>1072000</v>
      </c>
      <c r="O23" s="29">
        <f t="shared" si="7"/>
        <v>1072000</v>
      </c>
      <c r="P23" s="29">
        <f t="shared" si="7"/>
        <v>1072000</v>
      </c>
      <c r="Q23" s="29">
        <f t="shared" si="7"/>
        <v>1072000</v>
      </c>
      <c r="R23" s="29">
        <f t="shared" si="7"/>
        <v>1072000</v>
      </c>
    </row>
    <row r="24" spans="2:18" x14ac:dyDescent="0.55000000000000004">
      <c r="B24" s="23" t="s">
        <v>17</v>
      </c>
      <c r="C24" s="7"/>
      <c r="D24" s="7"/>
      <c r="E24" s="7"/>
      <c r="F24" s="8"/>
      <c r="G24" s="5">
        <f>IF(年度&gt;2020,1074000,974000)</f>
        <v>1074000</v>
      </c>
      <c r="I24" s="29">
        <f>$G$24</f>
        <v>1074000</v>
      </c>
      <c r="J24" s="29">
        <f t="shared" ref="J24:R24" si="8">$G$24</f>
        <v>1074000</v>
      </c>
      <c r="K24" s="29">
        <f t="shared" si="8"/>
        <v>1074000</v>
      </c>
      <c r="L24" s="29">
        <f t="shared" si="8"/>
        <v>1074000</v>
      </c>
      <c r="M24" s="29">
        <f t="shared" si="8"/>
        <v>1074000</v>
      </c>
      <c r="N24" s="29">
        <f t="shared" si="8"/>
        <v>1074000</v>
      </c>
      <c r="O24" s="29">
        <f t="shared" si="8"/>
        <v>1074000</v>
      </c>
      <c r="P24" s="29">
        <f t="shared" si="8"/>
        <v>1074000</v>
      </c>
      <c r="Q24" s="29">
        <f t="shared" si="8"/>
        <v>1074000</v>
      </c>
      <c r="R24" s="29">
        <f t="shared" si="8"/>
        <v>1074000</v>
      </c>
    </row>
    <row r="25" spans="2:18" x14ac:dyDescent="0.55000000000000004">
      <c r="B25" s="23" t="s">
        <v>18</v>
      </c>
      <c r="C25" s="7">
        <v>4</v>
      </c>
      <c r="D25" s="33" t="s">
        <v>43</v>
      </c>
      <c r="E25" s="7">
        <v>2.4</v>
      </c>
      <c r="F25" s="8">
        <f>IF(年度&gt;2020,-100000,0)</f>
        <v>-100000</v>
      </c>
      <c r="G25" s="5"/>
      <c r="I25" s="29">
        <f>ROUNDDOWN(I18/$C$25,-3)*$E$25-$F$25</f>
        <v>100000</v>
      </c>
      <c r="J25" s="29">
        <f t="shared" ref="J25:R25" si="9">ROUNDDOWN(J18/$C$25,-3)*$E$25-$F$25</f>
        <v>100000</v>
      </c>
      <c r="K25" s="29">
        <f t="shared" si="9"/>
        <v>100000</v>
      </c>
      <c r="L25" s="29">
        <f t="shared" si="9"/>
        <v>100000</v>
      </c>
      <c r="M25" s="29">
        <f t="shared" si="9"/>
        <v>100000</v>
      </c>
      <c r="N25" s="29">
        <f t="shared" si="9"/>
        <v>100000</v>
      </c>
      <c r="O25" s="29">
        <f t="shared" si="9"/>
        <v>100000</v>
      </c>
      <c r="P25" s="29">
        <f t="shared" si="9"/>
        <v>100000</v>
      </c>
      <c r="Q25" s="29">
        <f t="shared" si="9"/>
        <v>100000</v>
      </c>
      <c r="R25" s="29">
        <f t="shared" si="9"/>
        <v>100000</v>
      </c>
    </row>
    <row r="26" spans="2:18" x14ac:dyDescent="0.55000000000000004">
      <c r="B26" s="23" t="s">
        <v>19</v>
      </c>
      <c r="C26" s="7">
        <v>4</v>
      </c>
      <c r="D26" s="33" t="s">
        <v>43</v>
      </c>
      <c r="E26" s="7">
        <v>2.8</v>
      </c>
      <c r="F26" s="8">
        <f>IF(年度&gt;2020,80000,180000)</f>
        <v>80000</v>
      </c>
      <c r="G26" s="5"/>
      <c r="I26" s="29">
        <f>ROUNDDOWN(I18/$C$26,-3)*$E$26-$F$26</f>
        <v>-80000</v>
      </c>
      <c r="J26" s="29">
        <f t="shared" ref="J26:R26" si="10">ROUNDDOWN(J18/$C$26,-3)*$E$26-$F$26</f>
        <v>-80000</v>
      </c>
      <c r="K26" s="29">
        <f t="shared" si="10"/>
        <v>-80000</v>
      </c>
      <c r="L26" s="29">
        <f t="shared" si="10"/>
        <v>-80000</v>
      </c>
      <c r="M26" s="29">
        <f t="shared" si="10"/>
        <v>-80000</v>
      </c>
      <c r="N26" s="29">
        <f t="shared" si="10"/>
        <v>-80000</v>
      </c>
      <c r="O26" s="29">
        <f t="shared" si="10"/>
        <v>-80000</v>
      </c>
      <c r="P26" s="29">
        <f t="shared" si="10"/>
        <v>-80000</v>
      </c>
      <c r="Q26" s="29">
        <f t="shared" si="10"/>
        <v>-80000</v>
      </c>
      <c r="R26" s="29">
        <f t="shared" si="10"/>
        <v>-80000</v>
      </c>
    </row>
    <row r="27" spans="2:18" x14ac:dyDescent="0.55000000000000004">
      <c r="B27" s="23" t="s">
        <v>20</v>
      </c>
      <c r="C27" s="7">
        <v>4</v>
      </c>
      <c r="D27" s="33" t="s">
        <v>43</v>
      </c>
      <c r="E27" s="7">
        <v>3.2</v>
      </c>
      <c r="F27" s="8">
        <f>IF(年度&gt;2020,440000,540000)</f>
        <v>440000</v>
      </c>
      <c r="G27" s="5"/>
      <c r="I27" s="29">
        <f>ROUNDDOWN(I18/$C$27,-3)*$E$27-$F$27</f>
        <v>-440000</v>
      </c>
      <c r="J27" s="29">
        <f t="shared" ref="J27:R27" si="11">ROUNDDOWN(J18/$C$27,-3)*$E$27-$F$27</f>
        <v>-440000</v>
      </c>
      <c r="K27" s="29">
        <f t="shared" si="11"/>
        <v>-440000</v>
      </c>
      <c r="L27" s="29">
        <f t="shared" si="11"/>
        <v>-440000</v>
      </c>
      <c r="M27" s="29">
        <f t="shared" si="11"/>
        <v>-440000</v>
      </c>
      <c r="N27" s="29">
        <f t="shared" si="11"/>
        <v>-440000</v>
      </c>
      <c r="O27" s="29">
        <f t="shared" si="11"/>
        <v>-440000</v>
      </c>
      <c r="P27" s="29">
        <f t="shared" si="11"/>
        <v>-440000</v>
      </c>
      <c r="Q27" s="29">
        <f t="shared" si="11"/>
        <v>-440000</v>
      </c>
      <c r="R27" s="29">
        <f t="shared" si="11"/>
        <v>-440000</v>
      </c>
    </row>
    <row r="28" spans="2:18" x14ac:dyDescent="0.55000000000000004">
      <c r="B28" s="23" t="s">
        <v>21</v>
      </c>
      <c r="C28" s="7"/>
      <c r="D28" s="7"/>
      <c r="E28" s="7">
        <v>0.9</v>
      </c>
      <c r="F28" s="8">
        <f>IF(年度&gt;2020,1100000,1200000)</f>
        <v>1100000</v>
      </c>
      <c r="G28" s="5"/>
      <c r="I28" s="29">
        <f>I18*$E$28-$F$28</f>
        <v>-1100000</v>
      </c>
      <c r="J28" s="29">
        <f t="shared" ref="J28:R28" si="12">J18*$E$28-$F$28</f>
        <v>-1100000</v>
      </c>
      <c r="K28" s="29">
        <f t="shared" si="12"/>
        <v>-1100000</v>
      </c>
      <c r="L28" s="29">
        <f t="shared" si="12"/>
        <v>-1100000</v>
      </c>
      <c r="M28" s="29">
        <f t="shared" si="12"/>
        <v>-1100000</v>
      </c>
      <c r="N28" s="29">
        <f t="shared" si="12"/>
        <v>-1100000</v>
      </c>
      <c r="O28" s="29">
        <f t="shared" si="12"/>
        <v>-1100000</v>
      </c>
      <c r="P28" s="29">
        <f t="shared" si="12"/>
        <v>-1100000</v>
      </c>
      <c r="Q28" s="29">
        <f t="shared" si="12"/>
        <v>-1100000</v>
      </c>
      <c r="R28" s="29">
        <f t="shared" si="12"/>
        <v>-1100000</v>
      </c>
    </row>
    <row r="29" spans="2:18" ht="18.5" thickBot="1" x14ac:dyDescent="0.6">
      <c r="B29" s="24" t="s">
        <v>22</v>
      </c>
      <c r="C29" s="9"/>
      <c r="D29" s="9"/>
      <c r="E29" s="9"/>
      <c r="F29" s="11">
        <f>IF(年度&gt;2020,1950000,2200000)</f>
        <v>1950000</v>
      </c>
      <c r="G29" s="12"/>
      <c r="I29" s="29">
        <f>I18-$F$29</f>
        <v>-1950000</v>
      </c>
      <c r="J29" s="29">
        <f t="shared" ref="J29:R29" si="13">J18-$F$29</f>
        <v>-1950000</v>
      </c>
      <c r="K29" s="29">
        <f t="shared" si="13"/>
        <v>-1950000</v>
      </c>
      <c r="L29" s="29">
        <f t="shared" si="13"/>
        <v>-1950000</v>
      </c>
      <c r="M29" s="29">
        <f t="shared" si="13"/>
        <v>-1950000</v>
      </c>
      <c r="N29" s="29">
        <f t="shared" si="13"/>
        <v>-1950000</v>
      </c>
      <c r="O29" s="29">
        <f t="shared" si="13"/>
        <v>-1950000</v>
      </c>
      <c r="P29" s="29">
        <f t="shared" si="13"/>
        <v>-1950000</v>
      </c>
      <c r="Q29" s="29">
        <f t="shared" si="13"/>
        <v>-1950000</v>
      </c>
      <c r="R29" s="29">
        <f t="shared" si="13"/>
        <v>-1950000</v>
      </c>
    </row>
    <row r="30" spans="2:18" x14ac:dyDescent="0.55000000000000004">
      <c r="G30" s="10"/>
      <c r="L30" s="28"/>
    </row>
    <row r="31" spans="2:18" x14ac:dyDescent="0.55000000000000004">
      <c r="I31" s="28"/>
      <c r="J31" s="28"/>
      <c r="K31" s="28"/>
      <c r="L31" s="28"/>
      <c r="M31" s="28"/>
      <c r="N31" s="28"/>
    </row>
    <row r="32" spans="2:18" x14ac:dyDescent="0.55000000000000004">
      <c r="I32" s="28"/>
      <c r="J32" s="28"/>
      <c r="K32" s="28"/>
      <c r="L32" s="28"/>
      <c r="M32" s="28"/>
      <c r="N32" s="28"/>
    </row>
  </sheetData>
  <sheetProtection algorithmName="SHA-512" hashValue="tIylzTLfbTvWXwUldfwg64wMJr6RAIxMzCFUQw7sh01MxP0CgkmUWGuqQ26eZOK6cNWsjVRTC0gswShpXoUtKA==" saltValue="MoP24REhnCsRQJbzWNID6w==" spinCount="100000" sheet="1" selectLockedCells="1" selectUnlockedCells="1"/>
  <phoneticPr fontId="1"/>
  <conditionalFormatting sqref="F6:P15">
    <cfRule type="cellIs" dxfId="1" priority="8" operator="equal">
      <formula>TRUE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theme="0" tint="-0.249977111117893"/>
  </sheetPr>
  <dimension ref="A1:Q32"/>
  <sheetViews>
    <sheetView zoomScaleNormal="100" workbookViewId="0">
      <selection activeCell="E4" sqref="E4"/>
    </sheetView>
  </sheetViews>
  <sheetFormatPr defaultColWidth="10.58203125" defaultRowHeight="18" x14ac:dyDescent="0.55000000000000004"/>
  <cols>
    <col min="1" max="16384" width="10.58203125" style="2"/>
  </cols>
  <sheetData>
    <row r="1" spans="1:17" x14ac:dyDescent="0.55000000000000004">
      <c r="A1" s="1"/>
      <c r="B1" s="34">
        <v>1</v>
      </c>
      <c r="C1" s="34">
        <v>2</v>
      </c>
      <c r="D1" s="34">
        <v>3</v>
      </c>
      <c r="E1" s="34">
        <v>4</v>
      </c>
      <c r="F1" s="34">
        <v>5</v>
      </c>
      <c r="G1" s="34">
        <v>6</v>
      </c>
      <c r="H1" s="34">
        <v>7</v>
      </c>
      <c r="I1" s="34">
        <v>8</v>
      </c>
      <c r="J1" s="34">
        <v>9</v>
      </c>
      <c r="K1" s="34">
        <v>10</v>
      </c>
    </row>
    <row r="2" spans="1:17" x14ac:dyDescent="0.55000000000000004">
      <c r="A2" s="1"/>
      <c r="B2" s="10">
        <f>VLOOKUP(D6,$B$19:G30,COLUMNS($B$18:G18),FALSE)</f>
        <v>0</v>
      </c>
      <c r="C2" s="10">
        <f>VLOOKUP(D7,$B$19:H30,COLUMNS($B$18:H18),FALSE)</f>
        <v>0</v>
      </c>
      <c r="D2" s="10">
        <f>VLOOKUP(D8,$B$19:I30,COLUMNS($B$18:I18),FALSE)</f>
        <v>0</v>
      </c>
      <c r="E2" s="10">
        <f>VLOOKUP(D9,$B$19:J30,COLUMNS($B$18:J18),FALSE)</f>
        <v>0</v>
      </c>
      <c r="F2" s="10">
        <f>VLOOKUP(D10,$B$19:K30,COLUMNS($B$18:K18),FALSE)</f>
        <v>0</v>
      </c>
      <c r="G2" s="10">
        <f>VLOOKUP(D11,$B$19:L30,COLUMNS($B$18:L18),FALSE)</f>
        <v>0</v>
      </c>
      <c r="H2" s="10">
        <f>VLOOKUP(D12,$B$19:M30,COLUMNS($B$18:M18),FALSE)</f>
        <v>0</v>
      </c>
      <c r="I2" s="10">
        <f>VLOOKUP(D13,$B$19:N30,COLUMNS($B$18:N18),FALSE)</f>
        <v>0</v>
      </c>
      <c r="J2" s="10">
        <f>VLOOKUP(D14,$B$19:O30,COLUMNS($B$18:O18),FALSE)</f>
        <v>0</v>
      </c>
      <c r="K2" s="10">
        <f>VLOOKUP(D15,$B$19:P30,COLUMNS($B$18:P18),FALSE)</f>
        <v>0</v>
      </c>
    </row>
    <row r="3" spans="1:17" ht="18.5" thickBot="1" x14ac:dyDescent="0.6">
      <c r="B3" s="32" t="s">
        <v>24</v>
      </c>
      <c r="C3" s="1"/>
    </row>
    <row r="4" spans="1:17" x14ac:dyDescent="0.55000000000000004">
      <c r="B4" s="26"/>
      <c r="C4" s="13"/>
      <c r="D4" s="13"/>
      <c r="E4" s="13" t="s">
        <v>4</v>
      </c>
      <c r="F4" s="14">
        <f>IF(年度&gt;2020,600000,700000)</f>
        <v>600000</v>
      </c>
      <c r="G4" s="14">
        <v>1299999</v>
      </c>
      <c r="H4" s="14">
        <v>4099999</v>
      </c>
      <c r="I4" s="14">
        <v>7699999</v>
      </c>
      <c r="J4" s="14">
        <f>IF(年度&gt;2020,9999999,"")</f>
        <v>9999999</v>
      </c>
      <c r="K4" s="14"/>
      <c r="L4" s="14">
        <f>IF(年度&gt;2020,1100000,1200000)</f>
        <v>1100000</v>
      </c>
      <c r="M4" s="14">
        <v>3299999</v>
      </c>
      <c r="N4" s="14">
        <v>4099999</v>
      </c>
      <c r="O4" s="14">
        <v>7699999</v>
      </c>
      <c r="P4" s="14">
        <f>IF(年度&gt;2020,9999999,"")</f>
        <v>9999999</v>
      </c>
      <c r="Q4" s="15"/>
    </row>
    <row r="5" spans="1:17" x14ac:dyDescent="0.55000000000000004">
      <c r="B5" s="16"/>
      <c r="C5" s="17" t="s">
        <v>26</v>
      </c>
      <c r="D5" s="17" t="s">
        <v>11</v>
      </c>
      <c r="E5" s="17" t="s">
        <v>3</v>
      </c>
      <c r="F5" s="18">
        <v>0</v>
      </c>
      <c r="G5" s="18">
        <f>F4+1</f>
        <v>600001</v>
      </c>
      <c r="H5" s="18">
        <v>1300000</v>
      </c>
      <c r="I5" s="18">
        <v>4100000</v>
      </c>
      <c r="J5" s="18">
        <v>7700000</v>
      </c>
      <c r="K5" s="18">
        <f>IF(年度&gt;2020,10000000,"")</f>
        <v>10000000</v>
      </c>
      <c r="L5" s="18">
        <v>0</v>
      </c>
      <c r="M5" s="18">
        <f>L4+1</f>
        <v>1100001</v>
      </c>
      <c r="N5" s="18">
        <v>3300000</v>
      </c>
      <c r="O5" s="18">
        <v>4100000</v>
      </c>
      <c r="P5" s="18">
        <v>7700000</v>
      </c>
      <c r="Q5" s="19">
        <f>IF(年度&gt;2020,10000000,"")</f>
        <v>10000000</v>
      </c>
    </row>
    <row r="6" spans="1:17" x14ac:dyDescent="0.55000000000000004">
      <c r="B6" s="31">
        <v>1</v>
      </c>
      <c r="C6" s="4">
        <f>★試算★!F24</f>
        <v>0</v>
      </c>
      <c r="D6" s="27" t="str">
        <f>HLOOKUP(TRUE,F6:$Q$16,ROWS(E6:$E$16),FALSE)</f>
        <v>U1</v>
      </c>
      <c r="E6" s="3" t="b">
        <f>★試算★!C24="65～74歳"</f>
        <v>0</v>
      </c>
      <c r="F6" s="3" t="b">
        <f>IF(E6=FALSE,C6&lt;=F$4,"")</f>
        <v>1</v>
      </c>
      <c r="G6" s="3" t="b">
        <f>IF($E6=FALSE,AND(G$5&lt;=$C6,$C6&lt;=G$4),"")</f>
        <v>0</v>
      </c>
      <c r="H6" s="3" t="b">
        <f>IF($E6=FALSE,AND(H$5&lt;=$C6,$C6&lt;=H$4),"")</f>
        <v>0</v>
      </c>
      <c r="I6" s="3" t="b">
        <f>IF($E6=FALSE,AND(I$5&lt;=$C6,$C6&lt;=I$4),"")</f>
        <v>0</v>
      </c>
      <c r="J6" s="3" t="b">
        <f>IF($E6=FALSE,AND(J$5&lt;=$C6,$C6&lt;=J$4),"")</f>
        <v>0</v>
      </c>
      <c r="K6" s="3" t="b">
        <f t="shared" ref="K6:K15" si="0">IF(E6=FALSE,K$5&lt;=C6,"")</f>
        <v>0</v>
      </c>
      <c r="L6" s="3" t="str">
        <f t="shared" ref="L6:P15" si="1">IF($E6=TRUE,AND(L$5&lt;=$C6,$C6&lt;=L$4),"")</f>
        <v/>
      </c>
      <c r="M6" s="3" t="str">
        <f t="shared" si="1"/>
        <v/>
      </c>
      <c r="N6" s="3" t="str">
        <f t="shared" si="1"/>
        <v/>
      </c>
      <c r="O6" s="3" t="str">
        <f t="shared" si="1"/>
        <v/>
      </c>
      <c r="P6" s="3" t="str">
        <f t="shared" si="1"/>
        <v/>
      </c>
      <c r="Q6" s="6" t="str">
        <f t="shared" ref="Q6:Q15" si="2">IF($E6=TRUE,Q$5&lt;=$C6,"")</f>
        <v/>
      </c>
    </row>
    <row r="7" spans="1:17" x14ac:dyDescent="0.55000000000000004">
      <c r="B7" s="31">
        <v>2</v>
      </c>
      <c r="C7" s="4">
        <f>★試算★!F25</f>
        <v>0</v>
      </c>
      <c r="D7" s="27" t="str">
        <f>HLOOKUP(TRUE,F7:$Q$16,ROWS(E7:$E$16),FALSE)</f>
        <v>U1</v>
      </c>
      <c r="E7" s="3" t="b">
        <f>★試算★!C25="65～74歳"</f>
        <v>0</v>
      </c>
      <c r="F7" s="3" t="b">
        <f t="shared" ref="F7:F15" si="3">IF(E7=FALSE,C7&lt;=F$4,"")</f>
        <v>1</v>
      </c>
      <c r="G7" s="3" t="b">
        <f t="shared" ref="G7:G15" si="4">IF(E7=FALSE,AND(G$5&lt;=C7,C7&lt;=G$4),"")</f>
        <v>0</v>
      </c>
      <c r="H7" s="3" t="b">
        <f t="shared" ref="H7:H15" si="5">IF(E7=FALSE,AND(H$5&lt;=C7,C7&lt;=H$4),"")</f>
        <v>0</v>
      </c>
      <c r="I7" s="3" t="b">
        <f t="shared" ref="I7:I15" si="6">IF(E7=FALSE,AND(I$5&lt;=C7,C7&lt;=I$4),"")</f>
        <v>0</v>
      </c>
      <c r="J7" s="3" t="b">
        <f t="shared" ref="J7:J15" si="7">IF(E7=FALSE,AND(J$5&lt;=C7,C7&lt;=J$4),"")</f>
        <v>0</v>
      </c>
      <c r="K7" s="3" t="b">
        <f t="shared" si="0"/>
        <v>0</v>
      </c>
      <c r="L7" s="3" t="str">
        <f t="shared" si="1"/>
        <v/>
      </c>
      <c r="M7" s="3" t="str">
        <f t="shared" si="1"/>
        <v/>
      </c>
      <c r="N7" s="3" t="str">
        <f t="shared" si="1"/>
        <v/>
      </c>
      <c r="O7" s="3" t="str">
        <f t="shared" si="1"/>
        <v/>
      </c>
      <c r="P7" s="3" t="str">
        <f t="shared" si="1"/>
        <v/>
      </c>
      <c r="Q7" s="6" t="str">
        <f t="shared" si="2"/>
        <v/>
      </c>
    </row>
    <row r="8" spans="1:17" x14ac:dyDescent="0.55000000000000004">
      <c r="B8" s="31">
        <v>3</v>
      </c>
      <c r="C8" s="4">
        <f>★試算★!F26</f>
        <v>0</v>
      </c>
      <c r="D8" s="27" t="str">
        <f>HLOOKUP(TRUE,F8:$Q$16,ROWS(E8:$E$16),FALSE)</f>
        <v>U1</v>
      </c>
      <c r="E8" s="3" t="b">
        <f>★試算★!C26="65～74歳"</f>
        <v>0</v>
      </c>
      <c r="F8" s="3" t="b">
        <f t="shared" si="3"/>
        <v>1</v>
      </c>
      <c r="G8" s="3" t="b">
        <f t="shared" si="4"/>
        <v>0</v>
      </c>
      <c r="H8" s="3" t="b">
        <f t="shared" si="5"/>
        <v>0</v>
      </c>
      <c r="I8" s="3" t="b">
        <f t="shared" si="6"/>
        <v>0</v>
      </c>
      <c r="J8" s="3" t="b">
        <f t="shared" si="7"/>
        <v>0</v>
      </c>
      <c r="K8" s="3" t="b">
        <f t="shared" si="0"/>
        <v>0</v>
      </c>
      <c r="L8" s="3" t="str">
        <f t="shared" si="1"/>
        <v/>
      </c>
      <c r="M8" s="3" t="str">
        <f t="shared" si="1"/>
        <v/>
      </c>
      <c r="N8" s="3" t="str">
        <f t="shared" si="1"/>
        <v/>
      </c>
      <c r="O8" s="3" t="str">
        <f t="shared" si="1"/>
        <v/>
      </c>
      <c r="P8" s="3" t="str">
        <f t="shared" si="1"/>
        <v/>
      </c>
      <c r="Q8" s="6" t="str">
        <f t="shared" si="2"/>
        <v/>
      </c>
    </row>
    <row r="9" spans="1:17" x14ac:dyDescent="0.55000000000000004">
      <c r="B9" s="31">
        <v>4</v>
      </c>
      <c r="C9" s="4">
        <f>★試算★!F27</f>
        <v>0</v>
      </c>
      <c r="D9" s="27" t="str">
        <f>HLOOKUP(TRUE,F9:$Q$16,ROWS(E9:$E$16),FALSE)</f>
        <v>U1</v>
      </c>
      <c r="E9" s="3" t="b">
        <f>★試算★!C27="65～74歳"</f>
        <v>0</v>
      </c>
      <c r="F9" s="3" t="b">
        <f t="shared" si="3"/>
        <v>1</v>
      </c>
      <c r="G9" s="3" t="b">
        <f t="shared" si="4"/>
        <v>0</v>
      </c>
      <c r="H9" s="3" t="b">
        <f t="shared" si="5"/>
        <v>0</v>
      </c>
      <c r="I9" s="3" t="b">
        <f t="shared" si="6"/>
        <v>0</v>
      </c>
      <c r="J9" s="3" t="b">
        <f t="shared" si="7"/>
        <v>0</v>
      </c>
      <c r="K9" s="3" t="b">
        <f t="shared" si="0"/>
        <v>0</v>
      </c>
      <c r="L9" s="3" t="str">
        <f t="shared" si="1"/>
        <v/>
      </c>
      <c r="M9" s="3" t="str">
        <f t="shared" si="1"/>
        <v/>
      </c>
      <c r="N9" s="3" t="str">
        <f t="shared" si="1"/>
        <v/>
      </c>
      <c r="O9" s="3" t="str">
        <f t="shared" si="1"/>
        <v/>
      </c>
      <c r="P9" s="3" t="str">
        <f t="shared" si="1"/>
        <v/>
      </c>
      <c r="Q9" s="6" t="str">
        <f t="shared" si="2"/>
        <v/>
      </c>
    </row>
    <row r="10" spans="1:17" x14ac:dyDescent="0.55000000000000004">
      <c r="B10" s="31">
        <v>5</v>
      </c>
      <c r="C10" s="4">
        <f>★試算★!F28</f>
        <v>0</v>
      </c>
      <c r="D10" s="27" t="str">
        <f>HLOOKUP(TRUE,F10:$Q$16,ROWS(E10:$E$16),FALSE)</f>
        <v>U1</v>
      </c>
      <c r="E10" s="3" t="b">
        <f>★試算★!C28="65～74歳"</f>
        <v>0</v>
      </c>
      <c r="F10" s="3" t="b">
        <f t="shared" si="3"/>
        <v>1</v>
      </c>
      <c r="G10" s="3" t="b">
        <f t="shared" si="4"/>
        <v>0</v>
      </c>
      <c r="H10" s="3" t="b">
        <f t="shared" si="5"/>
        <v>0</v>
      </c>
      <c r="I10" s="3" t="b">
        <f t="shared" si="6"/>
        <v>0</v>
      </c>
      <c r="J10" s="3" t="b">
        <f t="shared" si="7"/>
        <v>0</v>
      </c>
      <c r="K10" s="3" t="b">
        <f t="shared" si="0"/>
        <v>0</v>
      </c>
      <c r="L10" s="3" t="str">
        <f t="shared" si="1"/>
        <v/>
      </c>
      <c r="M10" s="3" t="str">
        <f t="shared" si="1"/>
        <v/>
      </c>
      <c r="N10" s="3" t="str">
        <f t="shared" si="1"/>
        <v/>
      </c>
      <c r="O10" s="3" t="str">
        <f t="shared" si="1"/>
        <v/>
      </c>
      <c r="P10" s="3" t="str">
        <f t="shared" si="1"/>
        <v/>
      </c>
      <c r="Q10" s="6" t="str">
        <f t="shared" si="2"/>
        <v/>
      </c>
    </row>
    <row r="11" spans="1:17" x14ac:dyDescent="0.55000000000000004">
      <c r="B11" s="31">
        <v>6</v>
      </c>
      <c r="C11" s="4">
        <f>★試算★!F29</f>
        <v>0</v>
      </c>
      <c r="D11" s="27" t="str">
        <f>HLOOKUP(TRUE,F11:$Q$16,ROWS(E11:$E$16),FALSE)</f>
        <v>U1</v>
      </c>
      <c r="E11" s="3" t="b">
        <f>★試算★!C29="65～74歳"</f>
        <v>0</v>
      </c>
      <c r="F11" s="3" t="b">
        <f t="shared" si="3"/>
        <v>1</v>
      </c>
      <c r="G11" s="3" t="b">
        <f t="shared" si="4"/>
        <v>0</v>
      </c>
      <c r="H11" s="3" t="b">
        <f t="shared" si="5"/>
        <v>0</v>
      </c>
      <c r="I11" s="3" t="b">
        <f t="shared" si="6"/>
        <v>0</v>
      </c>
      <c r="J11" s="3" t="b">
        <f t="shared" si="7"/>
        <v>0</v>
      </c>
      <c r="K11" s="3" t="b">
        <f t="shared" si="0"/>
        <v>0</v>
      </c>
      <c r="L11" s="3" t="str">
        <f t="shared" si="1"/>
        <v/>
      </c>
      <c r="M11" s="3" t="str">
        <f t="shared" si="1"/>
        <v/>
      </c>
      <c r="N11" s="3" t="str">
        <f t="shared" si="1"/>
        <v/>
      </c>
      <c r="O11" s="3" t="str">
        <f t="shared" si="1"/>
        <v/>
      </c>
      <c r="P11" s="3" t="str">
        <f t="shared" si="1"/>
        <v/>
      </c>
      <c r="Q11" s="6" t="str">
        <f t="shared" si="2"/>
        <v/>
      </c>
    </row>
    <row r="12" spans="1:17" x14ac:dyDescent="0.55000000000000004">
      <c r="B12" s="31">
        <v>7</v>
      </c>
      <c r="C12" s="4">
        <f>★試算★!F30</f>
        <v>0</v>
      </c>
      <c r="D12" s="27" t="str">
        <f>HLOOKUP(TRUE,F12:$Q$16,ROWS(E12:$E$16),FALSE)</f>
        <v>U1</v>
      </c>
      <c r="E12" s="3" t="b">
        <f>★試算★!C30="65～74歳"</f>
        <v>0</v>
      </c>
      <c r="F12" s="3" t="b">
        <f t="shared" si="3"/>
        <v>1</v>
      </c>
      <c r="G12" s="3" t="b">
        <f t="shared" si="4"/>
        <v>0</v>
      </c>
      <c r="H12" s="3" t="b">
        <f t="shared" si="5"/>
        <v>0</v>
      </c>
      <c r="I12" s="3" t="b">
        <f t="shared" si="6"/>
        <v>0</v>
      </c>
      <c r="J12" s="3" t="b">
        <f t="shared" si="7"/>
        <v>0</v>
      </c>
      <c r="K12" s="3" t="b">
        <f t="shared" si="0"/>
        <v>0</v>
      </c>
      <c r="L12" s="3" t="str">
        <f t="shared" si="1"/>
        <v/>
      </c>
      <c r="M12" s="3" t="str">
        <f t="shared" si="1"/>
        <v/>
      </c>
      <c r="N12" s="3" t="str">
        <f t="shared" si="1"/>
        <v/>
      </c>
      <c r="O12" s="3" t="str">
        <f t="shared" si="1"/>
        <v/>
      </c>
      <c r="P12" s="3" t="str">
        <f t="shared" si="1"/>
        <v/>
      </c>
      <c r="Q12" s="6" t="str">
        <f t="shared" si="2"/>
        <v/>
      </c>
    </row>
    <row r="13" spans="1:17" x14ac:dyDescent="0.55000000000000004">
      <c r="B13" s="31">
        <v>8</v>
      </c>
      <c r="C13" s="4">
        <f>★試算★!F31</f>
        <v>0</v>
      </c>
      <c r="D13" s="27" t="str">
        <f>HLOOKUP(TRUE,F13:$Q$16,ROWS(E13:$E$16),FALSE)</f>
        <v>U1</v>
      </c>
      <c r="E13" s="3" t="b">
        <f>★試算★!C31="65～74歳"</f>
        <v>0</v>
      </c>
      <c r="F13" s="3" t="b">
        <f t="shared" si="3"/>
        <v>1</v>
      </c>
      <c r="G13" s="3" t="b">
        <f t="shared" si="4"/>
        <v>0</v>
      </c>
      <c r="H13" s="3" t="b">
        <f t="shared" si="5"/>
        <v>0</v>
      </c>
      <c r="I13" s="3" t="b">
        <f t="shared" si="6"/>
        <v>0</v>
      </c>
      <c r="J13" s="3" t="b">
        <f t="shared" si="7"/>
        <v>0</v>
      </c>
      <c r="K13" s="3" t="b">
        <f t="shared" si="0"/>
        <v>0</v>
      </c>
      <c r="L13" s="3" t="str">
        <f t="shared" si="1"/>
        <v/>
      </c>
      <c r="M13" s="3" t="str">
        <f t="shared" si="1"/>
        <v/>
      </c>
      <c r="N13" s="3" t="str">
        <f t="shared" si="1"/>
        <v/>
      </c>
      <c r="O13" s="3" t="str">
        <f t="shared" si="1"/>
        <v/>
      </c>
      <c r="P13" s="3" t="str">
        <f t="shared" si="1"/>
        <v/>
      </c>
      <c r="Q13" s="6" t="str">
        <f t="shared" si="2"/>
        <v/>
      </c>
    </row>
    <row r="14" spans="1:17" x14ac:dyDescent="0.55000000000000004">
      <c r="B14" s="31">
        <v>9</v>
      </c>
      <c r="C14" s="4">
        <f>★試算★!F32</f>
        <v>0</v>
      </c>
      <c r="D14" s="27" t="str">
        <f>HLOOKUP(TRUE,F14:$Q$16,ROWS(E14:$E$16),FALSE)</f>
        <v>U1</v>
      </c>
      <c r="E14" s="3" t="b">
        <f>★試算★!C32="65～74歳"</f>
        <v>0</v>
      </c>
      <c r="F14" s="3" t="b">
        <f t="shared" si="3"/>
        <v>1</v>
      </c>
      <c r="G14" s="3" t="b">
        <f t="shared" si="4"/>
        <v>0</v>
      </c>
      <c r="H14" s="3" t="b">
        <f t="shared" si="5"/>
        <v>0</v>
      </c>
      <c r="I14" s="3" t="b">
        <f t="shared" si="6"/>
        <v>0</v>
      </c>
      <c r="J14" s="3" t="b">
        <f t="shared" si="7"/>
        <v>0</v>
      </c>
      <c r="K14" s="3" t="b">
        <f t="shared" si="0"/>
        <v>0</v>
      </c>
      <c r="L14" s="3" t="str">
        <f t="shared" si="1"/>
        <v/>
      </c>
      <c r="M14" s="3" t="str">
        <f t="shared" si="1"/>
        <v/>
      </c>
      <c r="N14" s="3" t="str">
        <f t="shared" si="1"/>
        <v/>
      </c>
      <c r="O14" s="3" t="str">
        <f t="shared" si="1"/>
        <v/>
      </c>
      <c r="P14" s="3" t="str">
        <f t="shared" si="1"/>
        <v/>
      </c>
      <c r="Q14" s="6" t="str">
        <f t="shared" si="2"/>
        <v/>
      </c>
    </row>
    <row r="15" spans="1:17" x14ac:dyDescent="0.55000000000000004">
      <c r="B15" s="31">
        <v>10</v>
      </c>
      <c r="C15" s="4">
        <f>★試算★!F33</f>
        <v>0</v>
      </c>
      <c r="D15" s="27" t="str">
        <f>HLOOKUP(TRUE,F15:$Q$16,ROWS(E15:$E$16),FALSE)</f>
        <v>U1</v>
      </c>
      <c r="E15" s="3" t="b">
        <f>★試算★!C33="65～74歳"</f>
        <v>0</v>
      </c>
      <c r="F15" s="3" t="b">
        <f t="shared" si="3"/>
        <v>1</v>
      </c>
      <c r="G15" s="3" t="b">
        <f t="shared" si="4"/>
        <v>0</v>
      </c>
      <c r="H15" s="3" t="b">
        <f t="shared" si="5"/>
        <v>0</v>
      </c>
      <c r="I15" s="3" t="b">
        <f t="shared" si="6"/>
        <v>0</v>
      </c>
      <c r="J15" s="3" t="b">
        <f t="shared" si="7"/>
        <v>0</v>
      </c>
      <c r="K15" s="3" t="b">
        <f t="shared" si="0"/>
        <v>0</v>
      </c>
      <c r="L15" s="3" t="str">
        <f t="shared" si="1"/>
        <v/>
      </c>
      <c r="M15" s="3" t="str">
        <f t="shared" si="1"/>
        <v/>
      </c>
      <c r="N15" s="3" t="str">
        <f t="shared" si="1"/>
        <v/>
      </c>
      <c r="O15" s="3" t="str">
        <f t="shared" si="1"/>
        <v/>
      </c>
      <c r="P15" s="3" t="str">
        <f t="shared" si="1"/>
        <v/>
      </c>
      <c r="Q15" s="6" t="str">
        <f t="shared" si="2"/>
        <v/>
      </c>
    </row>
    <row r="16" spans="1:17" ht="18.5" thickBot="1" x14ac:dyDescent="0.6">
      <c r="B16" s="20"/>
      <c r="C16" s="21"/>
      <c r="D16" s="21"/>
      <c r="E16" s="21" t="s">
        <v>11</v>
      </c>
      <c r="F16" s="21" t="s">
        <v>27</v>
      </c>
      <c r="G16" s="21" t="s">
        <v>28</v>
      </c>
      <c r="H16" s="21" t="s">
        <v>29</v>
      </c>
      <c r="I16" s="21" t="s">
        <v>30</v>
      </c>
      <c r="J16" s="21" t="s">
        <v>31</v>
      </c>
      <c r="K16" s="21" t="s">
        <v>32</v>
      </c>
      <c r="L16" s="21" t="s">
        <v>33</v>
      </c>
      <c r="M16" s="21" t="s">
        <v>34</v>
      </c>
      <c r="N16" s="21" t="s">
        <v>35</v>
      </c>
      <c r="O16" s="21" t="s">
        <v>36</v>
      </c>
      <c r="P16" s="21" t="s">
        <v>37</v>
      </c>
      <c r="Q16" s="22" t="s">
        <v>38</v>
      </c>
    </row>
    <row r="17" spans="2:16" ht="18.5" thickBot="1" x14ac:dyDescent="0.6">
      <c r="B17" s="32" t="s">
        <v>23</v>
      </c>
    </row>
    <row r="18" spans="2:16" x14ac:dyDescent="0.55000000000000004">
      <c r="B18" s="36" t="s">
        <v>5</v>
      </c>
      <c r="C18" s="37" t="s">
        <v>8</v>
      </c>
      <c r="D18" s="38" t="s">
        <v>9</v>
      </c>
      <c r="E18" s="25" t="s">
        <v>25</v>
      </c>
      <c r="G18" s="35">
        <f>C6</f>
        <v>0</v>
      </c>
      <c r="H18" s="35">
        <f>C7</f>
        <v>0</v>
      </c>
      <c r="I18" s="39">
        <f>C8</f>
        <v>0</v>
      </c>
      <c r="J18" s="39">
        <f>C9</f>
        <v>0</v>
      </c>
      <c r="K18" s="39">
        <f>C10</f>
        <v>0</v>
      </c>
      <c r="L18" s="35">
        <f>C11</f>
        <v>0</v>
      </c>
      <c r="M18" s="35">
        <f>C12</f>
        <v>0</v>
      </c>
      <c r="N18" s="35">
        <f>C13</f>
        <v>0</v>
      </c>
      <c r="O18" s="35">
        <f>C14</f>
        <v>0</v>
      </c>
      <c r="P18" s="35">
        <f>C15</f>
        <v>0</v>
      </c>
    </row>
    <row r="19" spans="2:16" x14ac:dyDescent="0.55000000000000004">
      <c r="B19" s="23" t="str">
        <f>F16</f>
        <v>U1</v>
      </c>
      <c r="C19" s="7"/>
      <c r="D19" s="8"/>
      <c r="E19" s="5">
        <v>0</v>
      </c>
      <c r="G19" s="29">
        <v>0</v>
      </c>
      <c r="H19" s="29">
        <v>0</v>
      </c>
      <c r="I19" s="30">
        <v>0</v>
      </c>
      <c r="J19" s="30">
        <v>0</v>
      </c>
      <c r="K19" s="30">
        <v>0</v>
      </c>
      <c r="L19" s="29">
        <v>0</v>
      </c>
      <c r="M19" s="29">
        <v>0</v>
      </c>
      <c r="N19" s="30">
        <v>0</v>
      </c>
      <c r="O19" s="30">
        <v>0</v>
      </c>
      <c r="P19" s="30">
        <v>0</v>
      </c>
    </row>
    <row r="20" spans="2:16" x14ac:dyDescent="0.55000000000000004">
      <c r="B20" s="23" t="str">
        <f>G16</f>
        <v>U2</v>
      </c>
      <c r="C20" s="7"/>
      <c r="D20" s="8">
        <f>IF(年度&gt;2020,600000,700000)</f>
        <v>600000</v>
      </c>
      <c r="E20" s="5"/>
      <c r="G20" s="29">
        <f t="shared" ref="G20:P20" si="8">G18-$D$20</f>
        <v>-600000</v>
      </c>
      <c r="H20" s="29">
        <f t="shared" si="8"/>
        <v>-600000</v>
      </c>
      <c r="I20" s="29">
        <f t="shared" si="8"/>
        <v>-600000</v>
      </c>
      <c r="J20" s="29">
        <f t="shared" si="8"/>
        <v>-600000</v>
      </c>
      <c r="K20" s="29">
        <f t="shared" si="8"/>
        <v>-600000</v>
      </c>
      <c r="L20" s="29">
        <f t="shared" si="8"/>
        <v>-600000</v>
      </c>
      <c r="M20" s="29">
        <f t="shared" si="8"/>
        <v>-600000</v>
      </c>
      <c r="N20" s="29">
        <f t="shared" si="8"/>
        <v>-600000</v>
      </c>
      <c r="O20" s="29">
        <f t="shared" si="8"/>
        <v>-600000</v>
      </c>
      <c r="P20" s="29">
        <f t="shared" si="8"/>
        <v>-600000</v>
      </c>
    </row>
    <row r="21" spans="2:16" x14ac:dyDescent="0.55000000000000004">
      <c r="B21" s="23" t="str">
        <f>H16</f>
        <v>U3</v>
      </c>
      <c r="C21" s="7">
        <v>0.75</v>
      </c>
      <c r="D21" s="8">
        <f>IF(年度&gt;2020,275000,375000)</f>
        <v>275000</v>
      </c>
      <c r="E21" s="5"/>
      <c r="G21" s="29">
        <f t="shared" ref="G21:P21" si="9">G18*$C$21-$D$21</f>
        <v>-275000</v>
      </c>
      <c r="H21" s="29">
        <f t="shared" si="9"/>
        <v>-275000</v>
      </c>
      <c r="I21" s="29">
        <f t="shared" si="9"/>
        <v>-275000</v>
      </c>
      <c r="J21" s="29">
        <f t="shared" si="9"/>
        <v>-275000</v>
      </c>
      <c r="K21" s="29">
        <f t="shared" si="9"/>
        <v>-275000</v>
      </c>
      <c r="L21" s="29">
        <f t="shared" si="9"/>
        <v>-275000</v>
      </c>
      <c r="M21" s="29">
        <f t="shared" si="9"/>
        <v>-275000</v>
      </c>
      <c r="N21" s="29">
        <f t="shared" si="9"/>
        <v>-275000</v>
      </c>
      <c r="O21" s="29">
        <f t="shared" si="9"/>
        <v>-275000</v>
      </c>
      <c r="P21" s="29">
        <f t="shared" si="9"/>
        <v>-275000</v>
      </c>
    </row>
    <row r="22" spans="2:16" x14ac:dyDescent="0.55000000000000004">
      <c r="B22" s="23" t="str">
        <f>I16</f>
        <v>U4</v>
      </c>
      <c r="C22" s="7">
        <v>0.85</v>
      </c>
      <c r="D22" s="8">
        <f>IF(年度&gt;2020,685000,785000)</f>
        <v>685000</v>
      </c>
      <c r="E22" s="5"/>
      <c r="G22" s="29">
        <f>G18*$C$22-$D$22</f>
        <v>-685000</v>
      </c>
      <c r="H22" s="29">
        <f t="shared" ref="H22:P22" si="10">H18*$C$22-$D$22</f>
        <v>-685000</v>
      </c>
      <c r="I22" s="29">
        <f t="shared" si="10"/>
        <v>-685000</v>
      </c>
      <c r="J22" s="29">
        <f t="shared" si="10"/>
        <v>-685000</v>
      </c>
      <c r="K22" s="29">
        <f t="shared" si="10"/>
        <v>-685000</v>
      </c>
      <c r="L22" s="29">
        <f t="shared" si="10"/>
        <v>-685000</v>
      </c>
      <c r="M22" s="29">
        <f t="shared" si="10"/>
        <v>-685000</v>
      </c>
      <c r="N22" s="29">
        <f t="shared" si="10"/>
        <v>-685000</v>
      </c>
      <c r="O22" s="29">
        <f t="shared" si="10"/>
        <v>-685000</v>
      </c>
      <c r="P22" s="29">
        <f t="shared" si="10"/>
        <v>-685000</v>
      </c>
    </row>
    <row r="23" spans="2:16" x14ac:dyDescent="0.55000000000000004">
      <c r="B23" s="23" t="str">
        <f>J16</f>
        <v>U5</v>
      </c>
      <c r="C23" s="7">
        <v>0.95</v>
      </c>
      <c r="D23" s="8">
        <f>IF(年度&gt;2020,1450000,1550000)</f>
        <v>1450000</v>
      </c>
      <c r="E23" s="5"/>
      <c r="G23" s="29">
        <f>G18*$C$23-$D$23</f>
        <v>-1450000</v>
      </c>
      <c r="H23" s="29">
        <f t="shared" ref="H23:P23" si="11">H18*$C$23-$D$23</f>
        <v>-1450000</v>
      </c>
      <c r="I23" s="29">
        <f t="shared" si="11"/>
        <v>-1450000</v>
      </c>
      <c r="J23" s="29">
        <f t="shared" si="11"/>
        <v>-1450000</v>
      </c>
      <c r="K23" s="29">
        <f t="shared" si="11"/>
        <v>-1450000</v>
      </c>
      <c r="L23" s="29">
        <f t="shared" si="11"/>
        <v>-1450000</v>
      </c>
      <c r="M23" s="29">
        <f t="shared" si="11"/>
        <v>-1450000</v>
      </c>
      <c r="N23" s="29">
        <f t="shared" si="11"/>
        <v>-1450000</v>
      </c>
      <c r="O23" s="29">
        <f t="shared" si="11"/>
        <v>-1450000</v>
      </c>
      <c r="P23" s="29">
        <f t="shared" si="11"/>
        <v>-1450000</v>
      </c>
    </row>
    <row r="24" spans="2:16" x14ac:dyDescent="0.55000000000000004">
      <c r="B24" s="23" t="str">
        <f>K16</f>
        <v>U6</v>
      </c>
      <c r="C24" s="7"/>
      <c r="D24" s="8">
        <v>1955000</v>
      </c>
      <c r="E24" s="5"/>
      <c r="G24" s="29">
        <f>G18-$D$24</f>
        <v>-1955000</v>
      </c>
      <c r="H24" s="29">
        <f t="shared" ref="H24:P24" si="12">H18-$D$24</f>
        <v>-1955000</v>
      </c>
      <c r="I24" s="29">
        <f t="shared" si="12"/>
        <v>-1955000</v>
      </c>
      <c r="J24" s="29">
        <f t="shared" si="12"/>
        <v>-1955000</v>
      </c>
      <c r="K24" s="29">
        <f t="shared" si="12"/>
        <v>-1955000</v>
      </c>
      <c r="L24" s="29">
        <f t="shared" si="12"/>
        <v>-1955000</v>
      </c>
      <c r="M24" s="29">
        <f t="shared" si="12"/>
        <v>-1955000</v>
      </c>
      <c r="N24" s="29">
        <f t="shared" si="12"/>
        <v>-1955000</v>
      </c>
      <c r="O24" s="29">
        <f t="shared" si="12"/>
        <v>-1955000</v>
      </c>
      <c r="P24" s="29">
        <f t="shared" si="12"/>
        <v>-1955000</v>
      </c>
    </row>
    <row r="25" spans="2:16" x14ac:dyDescent="0.55000000000000004">
      <c r="B25" s="23" t="str">
        <f>L16</f>
        <v>O1</v>
      </c>
      <c r="C25" s="7"/>
      <c r="D25" s="8"/>
      <c r="E25" s="5">
        <v>0</v>
      </c>
      <c r="G25" s="29">
        <v>0</v>
      </c>
      <c r="H25" s="29">
        <v>0</v>
      </c>
      <c r="I25" s="30">
        <v>0</v>
      </c>
      <c r="J25" s="30">
        <v>0</v>
      </c>
      <c r="K25" s="30">
        <v>0</v>
      </c>
      <c r="L25" s="29">
        <v>0</v>
      </c>
      <c r="M25" s="29">
        <v>0</v>
      </c>
      <c r="N25" s="30">
        <v>0</v>
      </c>
      <c r="O25" s="30">
        <v>0</v>
      </c>
      <c r="P25" s="30">
        <v>0</v>
      </c>
    </row>
    <row r="26" spans="2:16" x14ac:dyDescent="0.55000000000000004">
      <c r="B26" s="23" t="str">
        <f>M16</f>
        <v>O2</v>
      </c>
      <c r="C26" s="7"/>
      <c r="D26" s="8">
        <f>IF(年度&gt;2020,1100000,1200000)</f>
        <v>1100000</v>
      </c>
      <c r="E26" s="5"/>
      <c r="G26" s="29">
        <f>G18-$D$26</f>
        <v>-1100000</v>
      </c>
      <c r="H26" s="29">
        <f t="shared" ref="H26:P26" si="13">H18-$D$26</f>
        <v>-1100000</v>
      </c>
      <c r="I26" s="29">
        <f t="shared" si="13"/>
        <v>-1100000</v>
      </c>
      <c r="J26" s="29">
        <f t="shared" si="13"/>
        <v>-1100000</v>
      </c>
      <c r="K26" s="29">
        <f t="shared" si="13"/>
        <v>-1100000</v>
      </c>
      <c r="L26" s="29">
        <f t="shared" si="13"/>
        <v>-1100000</v>
      </c>
      <c r="M26" s="29">
        <f t="shared" si="13"/>
        <v>-1100000</v>
      </c>
      <c r="N26" s="29">
        <f t="shared" si="13"/>
        <v>-1100000</v>
      </c>
      <c r="O26" s="29">
        <f t="shared" si="13"/>
        <v>-1100000</v>
      </c>
      <c r="P26" s="29">
        <f t="shared" si="13"/>
        <v>-1100000</v>
      </c>
    </row>
    <row r="27" spans="2:16" x14ac:dyDescent="0.55000000000000004">
      <c r="B27" s="23" t="str">
        <f>N16</f>
        <v>O3</v>
      </c>
      <c r="C27" s="7">
        <v>0.75</v>
      </c>
      <c r="D27" s="8">
        <f>IF(年度&gt;2020,275000,375000)</f>
        <v>275000</v>
      </c>
      <c r="E27" s="5"/>
      <c r="G27" s="29">
        <f>G18*$C$27-$D$27</f>
        <v>-275000</v>
      </c>
      <c r="H27" s="29">
        <f t="shared" ref="H27:O27" si="14">H18*$C$27-$D$27</f>
        <v>-275000</v>
      </c>
      <c r="I27" s="29">
        <f t="shared" si="14"/>
        <v>-275000</v>
      </c>
      <c r="J27" s="29">
        <f t="shared" si="14"/>
        <v>-275000</v>
      </c>
      <c r="K27" s="29">
        <f t="shared" si="14"/>
        <v>-275000</v>
      </c>
      <c r="L27" s="29">
        <f t="shared" si="14"/>
        <v>-275000</v>
      </c>
      <c r="M27" s="29">
        <f t="shared" si="14"/>
        <v>-275000</v>
      </c>
      <c r="N27" s="29">
        <f t="shared" si="14"/>
        <v>-275000</v>
      </c>
      <c r="O27" s="29">
        <f t="shared" si="14"/>
        <v>-275000</v>
      </c>
      <c r="P27" s="29">
        <f>P18*$C$27-$D$27</f>
        <v>-275000</v>
      </c>
    </row>
    <row r="28" spans="2:16" x14ac:dyDescent="0.55000000000000004">
      <c r="B28" s="23" t="str">
        <f>O16</f>
        <v>O4</v>
      </c>
      <c r="C28" s="7">
        <v>0.85</v>
      </c>
      <c r="D28" s="8">
        <f>IF(年度&gt;2020,685000,785000)</f>
        <v>685000</v>
      </c>
      <c r="E28" s="5"/>
      <c r="G28" s="29">
        <f>G18*$C$28-$D$28</f>
        <v>-685000</v>
      </c>
      <c r="H28" s="29">
        <f t="shared" ref="H28:P28" si="15">H18*$C$28-$D$28</f>
        <v>-685000</v>
      </c>
      <c r="I28" s="29">
        <f t="shared" si="15"/>
        <v>-685000</v>
      </c>
      <c r="J28" s="29">
        <f t="shared" si="15"/>
        <v>-685000</v>
      </c>
      <c r="K28" s="29">
        <f t="shared" si="15"/>
        <v>-685000</v>
      </c>
      <c r="L28" s="29">
        <f t="shared" si="15"/>
        <v>-685000</v>
      </c>
      <c r="M28" s="29">
        <f t="shared" si="15"/>
        <v>-685000</v>
      </c>
      <c r="N28" s="29">
        <f t="shared" si="15"/>
        <v>-685000</v>
      </c>
      <c r="O28" s="29">
        <f t="shared" si="15"/>
        <v>-685000</v>
      </c>
      <c r="P28" s="29">
        <f t="shared" si="15"/>
        <v>-685000</v>
      </c>
    </row>
    <row r="29" spans="2:16" x14ac:dyDescent="0.55000000000000004">
      <c r="B29" s="23" t="str">
        <f>P16</f>
        <v>O5</v>
      </c>
      <c r="C29" s="7">
        <v>0.95</v>
      </c>
      <c r="D29" s="8">
        <f>IF(年度&gt;2020,1455000,1555000)</f>
        <v>1455000</v>
      </c>
      <c r="E29" s="5"/>
      <c r="G29" s="29">
        <f>G18*$C$29-$D$29</f>
        <v>-1455000</v>
      </c>
      <c r="H29" s="29">
        <f t="shared" ref="H29:P29" si="16">H18*$C$29-$D$29</f>
        <v>-1455000</v>
      </c>
      <c r="I29" s="29">
        <f t="shared" si="16"/>
        <v>-1455000</v>
      </c>
      <c r="J29" s="29">
        <f t="shared" si="16"/>
        <v>-1455000</v>
      </c>
      <c r="K29" s="29">
        <f t="shared" si="16"/>
        <v>-1455000</v>
      </c>
      <c r="L29" s="29">
        <f t="shared" si="16"/>
        <v>-1455000</v>
      </c>
      <c r="M29" s="29">
        <f t="shared" si="16"/>
        <v>-1455000</v>
      </c>
      <c r="N29" s="29">
        <f t="shared" si="16"/>
        <v>-1455000</v>
      </c>
      <c r="O29" s="29">
        <f t="shared" si="16"/>
        <v>-1455000</v>
      </c>
      <c r="P29" s="29">
        <f t="shared" si="16"/>
        <v>-1455000</v>
      </c>
    </row>
    <row r="30" spans="2:16" ht="18.5" thickBot="1" x14ac:dyDescent="0.6">
      <c r="B30" s="24" t="str">
        <f>Q16</f>
        <v>O6</v>
      </c>
      <c r="C30" s="9"/>
      <c r="D30" s="11">
        <v>1955000</v>
      </c>
      <c r="E30" s="12"/>
      <c r="G30" s="29">
        <f>G18-$D$30</f>
        <v>-1955000</v>
      </c>
      <c r="H30" s="29">
        <f t="shared" ref="H30:P30" si="17">H18-$D$30</f>
        <v>-1955000</v>
      </c>
      <c r="I30" s="29">
        <f t="shared" si="17"/>
        <v>-1955000</v>
      </c>
      <c r="J30" s="29">
        <f t="shared" si="17"/>
        <v>-1955000</v>
      </c>
      <c r="K30" s="29">
        <f t="shared" si="17"/>
        <v>-1955000</v>
      </c>
      <c r="L30" s="29">
        <f t="shared" si="17"/>
        <v>-1955000</v>
      </c>
      <c r="M30" s="29">
        <f t="shared" si="17"/>
        <v>-1955000</v>
      </c>
      <c r="N30" s="29">
        <f t="shared" si="17"/>
        <v>-1955000</v>
      </c>
      <c r="O30" s="29">
        <f t="shared" si="17"/>
        <v>-1955000</v>
      </c>
      <c r="P30" s="29">
        <f t="shared" si="17"/>
        <v>-1955000</v>
      </c>
    </row>
    <row r="31" spans="2:16" x14ac:dyDescent="0.55000000000000004">
      <c r="G31" s="28"/>
      <c r="H31" s="28"/>
      <c r="I31" s="28"/>
      <c r="J31" s="28"/>
      <c r="K31" s="28"/>
      <c r="L31" s="28"/>
    </row>
    <row r="32" spans="2:16" x14ac:dyDescent="0.55000000000000004">
      <c r="G32" s="28"/>
      <c r="H32" s="28"/>
      <c r="I32" s="28"/>
      <c r="J32" s="28"/>
      <c r="K32" s="28"/>
      <c r="L32" s="28"/>
    </row>
  </sheetData>
  <sheetProtection algorithmName="SHA-512" hashValue="7GbW+ZXaNWC1qV1oywyCg5dvJBQTGafA/M6Z47aflZxHBXAbWLsMwOUxjLU3XWU7U49AMtoY7BvLHqgCvNPmRg==" saltValue="7jtXN0A8jDd7U6KfsjKVUg==" spinCount="100000" sheet="1" selectLockedCells="1" selectUnlockedCells="1"/>
  <phoneticPr fontId="1"/>
  <conditionalFormatting sqref="F6:Q15">
    <cfRule type="cellIs" dxfId="0" priority="6" operator="equal">
      <formula>TRUE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15</vt:i4>
      </vt:variant>
    </vt:vector>
  </HeadingPairs>
  <TitlesOfParts>
    <vt:vector size="19" baseType="lpstr">
      <vt:lpstr>★試算★</vt:lpstr>
      <vt:lpstr>計算過程</vt:lpstr>
      <vt:lpstr>給与所得計算</vt:lpstr>
      <vt:lpstr>年金所得計算</vt:lpstr>
      <vt:lpstr>★試算★!Print_Area</vt:lpstr>
      <vt:lpstr>計算過程!Print_Area</vt:lpstr>
      <vt:lpstr>医療均等割</vt:lpstr>
      <vt:lpstr>医療限度額</vt:lpstr>
      <vt:lpstr>医療所得割率</vt:lpstr>
      <vt:lpstr>医療平等割</vt:lpstr>
      <vt:lpstr>介護均等割</vt:lpstr>
      <vt:lpstr>介護限度額</vt:lpstr>
      <vt:lpstr>介護所得割率</vt:lpstr>
      <vt:lpstr>介護平等割</vt:lpstr>
      <vt:lpstr>支援均等割</vt:lpstr>
      <vt:lpstr>支援限度額</vt:lpstr>
      <vt:lpstr>支援所得割率</vt:lpstr>
      <vt:lpstr>支援平等割</vt:lpstr>
      <vt:lpstr>年度</vt:lpstr>
    </vt:vector>
  </TitlesOfParts>
  <Company>ISESAKI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髙橋 美由希</cp:lastModifiedBy>
  <cp:lastPrinted>2023-02-21T01:26:48Z</cp:lastPrinted>
  <dcterms:created xsi:type="dcterms:W3CDTF">2021-01-27T04:21:08Z</dcterms:created>
  <dcterms:modified xsi:type="dcterms:W3CDTF">2025-05-08T06:17:05Z</dcterms:modified>
</cp:coreProperties>
</file>