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●④給水係●\●常用●\●基準・要綱・マニュアル・資料\●水理計算マニュアル\"/>
    </mc:Choice>
  </mc:AlternateContent>
  <xr:revisionPtr revIDLastSave="0" documentId="13_ncr:1_{45A20E3B-FBDD-4FF0-904F-31F8969634CB}" xr6:coauthVersionLast="47" xr6:coauthVersionMax="47" xr10:uidLastSave="{00000000-0000-0000-0000-000000000000}"/>
  <workbookProtection workbookAlgorithmName="SHA-512" workbookHashValue="Quqolgo0LqF2WpJYI2Jl60yOIz4nhw/rkUa1S/TCDyxvsz8w9wbRTjmQz/85cYa8F1sItTkfg8TEQNZfnS8NSw==" workbookSaltValue="h0yjo7CFAde+K+1h4VymmQ==" workbookSpinCount="100000" lockStructure="1"/>
  <bookViews>
    <workbookView xWindow="-120" yWindow="-120" windowWidth="29040" windowHeight="15720" tabRatio="848" xr2:uid="{00000000-000D-0000-FFFF-FFFF00000000}"/>
  </bookViews>
  <sheets>
    <sheet name="操作方法" sheetId="22" r:id="rId1"/>
    <sheet name="水理計算シート" sheetId="19" r:id="rId2"/>
    <sheet name="水理計算（例）" sheetId="23" r:id="rId3"/>
    <sheet name="直管換算表" sheetId="20" r:id="rId4"/>
  </sheets>
  <definedNames>
    <definedName name="_xlnm.Print_Area" localSheetId="2">'水理計算（例）'!$A$1:$W$55</definedName>
    <definedName name="_xlnm.Print_Area" localSheetId="1">水理計算シート!$A$1:$W$55</definedName>
    <definedName name="_xlnm.Print_Area" localSheetId="3">直管換算表!$A$1:$N$11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3" l="1"/>
  <c r="K9" i="23" l="1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AN53" i="23" s="1"/>
  <c r="R53" i="23" s="1"/>
  <c r="D53" i="23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D52" i="23"/>
  <c r="Z52" i="23" s="1"/>
  <c r="AN52" i="23" s="1"/>
  <c r="R52" i="23" s="1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AN51" i="23" s="1"/>
  <c r="R51" i="23" s="1"/>
  <c r="D51" i="23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D50" i="23"/>
  <c r="Z50" i="23" s="1"/>
  <c r="AN50" i="23" s="1"/>
  <c r="R50" i="23" s="1"/>
  <c r="AN49" i="23"/>
  <c r="R49" i="23" s="1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D49" i="23"/>
  <c r="Z49" i="23" s="1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D48" i="23"/>
  <c r="Z48" i="23" s="1"/>
  <c r="AN48" i="23" s="1"/>
  <c r="R48" i="23" s="1"/>
  <c r="C48" i="23"/>
  <c r="Y48" i="23" s="1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D47" i="23"/>
  <c r="Z47" i="23" s="1"/>
  <c r="AN47" i="23" s="1"/>
  <c r="R47" i="23" s="1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D46" i="23"/>
  <c r="Z46" i="23" s="1"/>
  <c r="AN46" i="23" s="1"/>
  <c r="R46" i="23" s="1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D45" i="23"/>
  <c r="Z45" i="23" s="1"/>
  <c r="AN45" i="23" s="1"/>
  <c r="R45" i="23" s="1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D44" i="23"/>
  <c r="Z44" i="23" s="1"/>
  <c r="AN44" i="23" s="1"/>
  <c r="R44" i="23" s="1"/>
  <c r="C44" i="23"/>
  <c r="Y44" i="23" s="1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AN43" i="23" s="1"/>
  <c r="R43" i="23" s="1"/>
  <c r="D43" i="23"/>
  <c r="C43" i="23"/>
  <c r="Y43" i="23" s="1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AN42" i="23" s="1"/>
  <c r="R42" i="23" s="1"/>
  <c r="D42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Y41" i="23"/>
  <c r="D41" i="23"/>
  <c r="Z41" i="23" s="1"/>
  <c r="AN41" i="23" s="1"/>
  <c r="R41" i="23" s="1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D40" i="23"/>
  <c r="Z40" i="23" s="1"/>
  <c r="AN40" i="23" s="1"/>
  <c r="R40" i="23" s="1"/>
  <c r="C40" i="23"/>
  <c r="Y40" i="23" s="1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AN39" i="23" s="1"/>
  <c r="R39" i="23" s="1"/>
  <c r="D39" i="23"/>
  <c r="AN38" i="23"/>
  <c r="R38" i="23" s="1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D38" i="23"/>
  <c r="Z38" i="23" s="1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D37" i="23"/>
  <c r="Z37" i="23" s="1"/>
  <c r="AM36" i="23"/>
  <c r="AL36" i="23"/>
  <c r="AK36" i="23"/>
  <c r="AJ36" i="23"/>
  <c r="AH36" i="23"/>
  <c r="AF36" i="23"/>
  <c r="AE36" i="23"/>
  <c r="AD36" i="23"/>
  <c r="D36" i="23"/>
  <c r="AB36" i="23" s="1"/>
  <c r="AM35" i="23"/>
  <c r="AL35" i="23"/>
  <c r="AK35" i="23"/>
  <c r="AJ35" i="23"/>
  <c r="AH35" i="23"/>
  <c r="AF35" i="23"/>
  <c r="AE35" i="23"/>
  <c r="AD35" i="23"/>
  <c r="AC35" i="23"/>
  <c r="AB35" i="23"/>
  <c r="AA35" i="23"/>
  <c r="D35" i="23"/>
  <c r="AI35" i="23" s="1"/>
  <c r="AM34" i="23"/>
  <c r="AL34" i="23"/>
  <c r="AK34" i="23"/>
  <c r="AJ34" i="23"/>
  <c r="AI34" i="23"/>
  <c r="AH34" i="23"/>
  <c r="AG34" i="23"/>
  <c r="AF34" i="23"/>
  <c r="AE34" i="23"/>
  <c r="AD34" i="23"/>
  <c r="AC34" i="23"/>
  <c r="AA34" i="23"/>
  <c r="D34" i="23"/>
  <c r="Z34" i="23" s="1"/>
  <c r="L29" i="23"/>
  <c r="K29" i="23"/>
  <c r="D29" i="23"/>
  <c r="N28" i="23"/>
  <c r="H28" i="23"/>
  <c r="O28" i="23" s="1"/>
  <c r="P28" i="23" s="1"/>
  <c r="Y28" i="23" s="1"/>
  <c r="Z28" i="23" s="1"/>
  <c r="F28" i="23"/>
  <c r="C28" i="23"/>
  <c r="C53" i="23" s="1"/>
  <c r="Y53" i="23" s="1"/>
  <c r="N27" i="23"/>
  <c r="H27" i="23"/>
  <c r="O27" i="23" s="1"/>
  <c r="P27" i="23" s="1"/>
  <c r="Y27" i="23" s="1"/>
  <c r="Z27" i="23" s="1"/>
  <c r="F27" i="23"/>
  <c r="C27" i="23"/>
  <c r="C52" i="23" s="1"/>
  <c r="Y52" i="23" s="1"/>
  <c r="N26" i="23"/>
  <c r="H26" i="23"/>
  <c r="O26" i="23" s="1"/>
  <c r="P26" i="23" s="1"/>
  <c r="Y26" i="23" s="1"/>
  <c r="Z26" i="23" s="1"/>
  <c r="F26" i="23"/>
  <c r="C26" i="23"/>
  <c r="C51" i="23" s="1"/>
  <c r="Y51" i="23" s="1"/>
  <c r="N25" i="23"/>
  <c r="H25" i="23"/>
  <c r="I25" i="23" s="1"/>
  <c r="J25" i="23" s="1"/>
  <c r="F25" i="23"/>
  <c r="C25" i="23"/>
  <c r="C50" i="23" s="1"/>
  <c r="Y50" i="23" s="1"/>
  <c r="N24" i="23"/>
  <c r="H24" i="23"/>
  <c r="O24" i="23" s="1"/>
  <c r="P24" i="23" s="1"/>
  <c r="Q24" i="23" s="1"/>
  <c r="F24" i="23"/>
  <c r="C24" i="23"/>
  <c r="C49" i="23" s="1"/>
  <c r="Y49" i="23" s="1"/>
  <c r="N23" i="23"/>
  <c r="H23" i="23"/>
  <c r="I23" i="23" s="1"/>
  <c r="J23" i="23" s="1"/>
  <c r="F23" i="23"/>
  <c r="C23" i="23"/>
  <c r="N22" i="23"/>
  <c r="H22" i="23"/>
  <c r="I22" i="23" s="1"/>
  <c r="J22" i="23" s="1"/>
  <c r="F22" i="23"/>
  <c r="C22" i="23"/>
  <c r="C47" i="23" s="1"/>
  <c r="Y47" i="23" s="1"/>
  <c r="N21" i="23"/>
  <c r="H21" i="23"/>
  <c r="O21" i="23" s="1"/>
  <c r="P21" i="23" s="1"/>
  <c r="F21" i="23"/>
  <c r="C21" i="23"/>
  <c r="C46" i="23" s="1"/>
  <c r="Y46" i="23" s="1"/>
  <c r="N20" i="23"/>
  <c r="H20" i="23"/>
  <c r="O20" i="23" s="1"/>
  <c r="P20" i="23" s="1"/>
  <c r="Q20" i="23" s="1"/>
  <c r="F20" i="23"/>
  <c r="C20" i="23"/>
  <c r="C45" i="23" s="1"/>
  <c r="Y45" i="23" s="1"/>
  <c r="N19" i="23"/>
  <c r="H19" i="23"/>
  <c r="I19" i="23" s="1"/>
  <c r="J19" i="23" s="1"/>
  <c r="F19" i="23"/>
  <c r="C19" i="23"/>
  <c r="N18" i="23"/>
  <c r="H18" i="23"/>
  <c r="O18" i="23" s="1"/>
  <c r="P18" i="23" s="1"/>
  <c r="Y18" i="23" s="1"/>
  <c r="Z18" i="23" s="1"/>
  <c r="F18" i="23"/>
  <c r="C18" i="23"/>
  <c r="N17" i="23"/>
  <c r="H17" i="23"/>
  <c r="I17" i="23" s="1"/>
  <c r="J17" i="23" s="1"/>
  <c r="F17" i="23"/>
  <c r="C17" i="23"/>
  <c r="C42" i="23" s="1"/>
  <c r="Y42" i="23" s="1"/>
  <c r="N16" i="23"/>
  <c r="H16" i="23"/>
  <c r="I16" i="23" s="1"/>
  <c r="J16" i="23" s="1"/>
  <c r="F16" i="23"/>
  <c r="C16" i="23"/>
  <c r="C41" i="23" s="1"/>
  <c r="N15" i="23"/>
  <c r="H15" i="23"/>
  <c r="O15" i="23" s="1"/>
  <c r="P15" i="23" s="1"/>
  <c r="Q15" i="23" s="1"/>
  <c r="AA15" i="23" s="1"/>
  <c r="F15" i="23"/>
  <c r="C15" i="23"/>
  <c r="N14" i="23"/>
  <c r="H14" i="23"/>
  <c r="O14" i="23" s="1"/>
  <c r="P14" i="23" s="1"/>
  <c r="F14" i="23"/>
  <c r="C14" i="23"/>
  <c r="C39" i="23" s="1"/>
  <c r="Y39" i="23" s="1"/>
  <c r="N13" i="23"/>
  <c r="H13" i="23"/>
  <c r="I13" i="23" s="1"/>
  <c r="J13" i="23" s="1"/>
  <c r="F13" i="23"/>
  <c r="C13" i="23"/>
  <c r="C38" i="23" s="1"/>
  <c r="Y38" i="23" s="1"/>
  <c r="N12" i="23"/>
  <c r="H12" i="23"/>
  <c r="F12" i="23"/>
  <c r="C12" i="23"/>
  <c r="C37" i="23" s="1"/>
  <c r="Y37" i="23" s="1"/>
  <c r="N11" i="23"/>
  <c r="H11" i="23"/>
  <c r="F11" i="23"/>
  <c r="C11" i="23"/>
  <c r="C36" i="23" s="1"/>
  <c r="Y36" i="23" s="1"/>
  <c r="N10" i="23"/>
  <c r="H10" i="23"/>
  <c r="I10" i="23" s="1"/>
  <c r="F10" i="23"/>
  <c r="C10" i="23"/>
  <c r="C35" i="23" s="1"/>
  <c r="Y35" i="23" s="1"/>
  <c r="N9" i="23"/>
  <c r="H9" i="23"/>
  <c r="O9" i="23" s="1"/>
  <c r="P9" i="23" s="1"/>
  <c r="F9" i="23"/>
  <c r="C9" i="23"/>
  <c r="C34" i="23" s="1"/>
  <c r="Y34" i="23" s="1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O23" i="23" l="1"/>
  <c r="P23" i="23" s="1"/>
  <c r="Q23" i="23" s="1"/>
  <c r="AA23" i="23" s="1"/>
  <c r="AN37" i="23"/>
  <c r="R37" i="23" s="1"/>
  <c r="O17" i="23"/>
  <c r="P17" i="23" s="1"/>
  <c r="Q17" i="23" s="1"/>
  <c r="AA17" i="23" s="1"/>
  <c r="I20" i="23"/>
  <c r="J20" i="23" s="1"/>
  <c r="O22" i="23"/>
  <c r="P22" i="23" s="1"/>
  <c r="Q22" i="23" s="1"/>
  <c r="AA22" i="23" s="1"/>
  <c r="I27" i="23"/>
  <c r="J27" i="23" s="1"/>
  <c r="O13" i="23"/>
  <c r="P13" i="23" s="1"/>
  <c r="Q13" i="23" s="1"/>
  <c r="AA13" i="23" s="1"/>
  <c r="I18" i="23"/>
  <c r="J18" i="23" s="1"/>
  <c r="O16" i="23"/>
  <c r="P16" i="23" s="1"/>
  <c r="Y16" i="23" s="1"/>
  <c r="Z16" i="23" s="1"/>
  <c r="O25" i="23"/>
  <c r="P25" i="23" s="1"/>
  <c r="Q25" i="23" s="1"/>
  <c r="AA25" i="23" s="1"/>
  <c r="I21" i="23"/>
  <c r="J21" i="23" s="1"/>
  <c r="O12" i="23"/>
  <c r="P12" i="23" s="1"/>
  <c r="Q12" i="23" s="1"/>
  <c r="AA12" i="23" s="1"/>
  <c r="I26" i="23"/>
  <c r="J26" i="23" s="1"/>
  <c r="I12" i="23"/>
  <c r="J12" i="23" s="1"/>
  <c r="O19" i="23"/>
  <c r="P19" i="23" s="1"/>
  <c r="Y19" i="23" s="1"/>
  <c r="Z19" i="23" s="1"/>
  <c r="AC36" i="23"/>
  <c r="AG36" i="23"/>
  <c r="J10" i="23"/>
  <c r="Y15" i="23"/>
  <c r="Z15" i="23" s="1"/>
  <c r="Q27" i="23"/>
  <c r="AA27" i="23" s="1"/>
  <c r="AB27" i="23" s="1"/>
  <c r="Q18" i="23"/>
  <c r="AA18" i="23" s="1"/>
  <c r="AB18" i="23" s="1"/>
  <c r="Y20" i="23"/>
  <c r="Z20" i="23" s="1"/>
  <c r="Y24" i="23"/>
  <c r="Z24" i="23" s="1"/>
  <c r="O11" i="23"/>
  <c r="P11" i="23" s="1"/>
  <c r="Q11" i="23" s="1"/>
  <c r="AA11" i="23" s="1"/>
  <c r="Q14" i="23"/>
  <c r="AA14" i="23" s="1"/>
  <c r="Y14" i="23"/>
  <c r="Z14" i="23" s="1"/>
  <c r="AA24" i="23"/>
  <c r="AB15" i="23"/>
  <c r="R15" i="23"/>
  <c r="Q9" i="23"/>
  <c r="AA9" i="23" s="1"/>
  <c r="I11" i="23"/>
  <c r="J11" i="23" s="1"/>
  <c r="Q26" i="23"/>
  <c r="AA26" i="23" s="1"/>
  <c r="Q28" i="23"/>
  <c r="AA28" i="23" s="1"/>
  <c r="O10" i="23"/>
  <c r="P10" i="23" s="1"/>
  <c r="Q10" i="23" s="1"/>
  <c r="AA10" i="23" s="1"/>
  <c r="Z35" i="23"/>
  <c r="Y9" i="23"/>
  <c r="Z9" i="23" s="1"/>
  <c r="AI36" i="23"/>
  <c r="AB34" i="23"/>
  <c r="AN34" i="23" s="1"/>
  <c r="R34" i="23" s="1"/>
  <c r="I14" i="23"/>
  <c r="J14" i="23" s="1"/>
  <c r="I15" i="23"/>
  <c r="J15" i="23" s="1"/>
  <c r="H29" i="23"/>
  <c r="AG35" i="23"/>
  <c r="Y21" i="23"/>
  <c r="Z21" i="23" s="1"/>
  <c r="I9" i="23"/>
  <c r="Z36" i="23"/>
  <c r="AA20" i="23"/>
  <c r="Q21" i="23"/>
  <c r="AA21" i="23" s="1"/>
  <c r="I24" i="23"/>
  <c r="J24" i="23" s="1"/>
  <c r="AA36" i="23"/>
  <c r="I28" i="23"/>
  <c r="J28" i="23" s="1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Q19" i="23" l="1"/>
  <c r="AA19" i="23" s="1"/>
  <c r="AB19" i="23" s="1"/>
  <c r="Y23" i="23"/>
  <c r="Z23" i="23" s="1"/>
  <c r="Y25" i="23"/>
  <c r="Z25" i="23" s="1"/>
  <c r="Y17" i="23"/>
  <c r="Z17" i="23" s="1"/>
  <c r="Q16" i="23"/>
  <c r="AA16" i="23" s="1"/>
  <c r="AB16" i="23" s="1"/>
  <c r="Y12" i="23"/>
  <c r="Z12" i="23" s="1"/>
  <c r="Y13" i="23"/>
  <c r="Z13" i="23" s="1"/>
  <c r="Y22" i="23"/>
  <c r="Z22" i="23" s="1"/>
  <c r="R27" i="23"/>
  <c r="S52" i="23" s="1"/>
  <c r="R18" i="23"/>
  <c r="S43" i="23" s="1"/>
  <c r="Y11" i="23"/>
  <c r="Z11" i="23" s="1"/>
  <c r="R21" i="23"/>
  <c r="AB21" i="23"/>
  <c r="AB9" i="23"/>
  <c r="R9" i="23"/>
  <c r="S34" i="23" s="1"/>
  <c r="R23" i="23"/>
  <c r="AB23" i="23"/>
  <c r="T15" i="23"/>
  <c r="S15" i="23"/>
  <c r="AB14" i="23"/>
  <c r="R14" i="23"/>
  <c r="R12" i="23"/>
  <c r="AB12" i="23"/>
  <c r="AB10" i="23"/>
  <c r="R10" i="23"/>
  <c r="AB28" i="23"/>
  <c r="R28" i="23"/>
  <c r="AB22" i="23"/>
  <c r="R22" i="23"/>
  <c r="AB13" i="23"/>
  <c r="R13" i="23"/>
  <c r="AB25" i="23"/>
  <c r="R25" i="23"/>
  <c r="AN35" i="23"/>
  <c r="R35" i="23" s="1"/>
  <c r="AB20" i="23"/>
  <c r="R20" i="23"/>
  <c r="S40" i="23"/>
  <c r="AB24" i="23"/>
  <c r="R24" i="23"/>
  <c r="AN36" i="23"/>
  <c r="R36" i="23" s="1"/>
  <c r="Y10" i="23"/>
  <c r="Z10" i="23" s="1"/>
  <c r="AB26" i="23"/>
  <c r="R26" i="23"/>
  <c r="AB11" i="23"/>
  <c r="R11" i="23"/>
  <c r="I29" i="23"/>
  <c r="J9" i="23"/>
  <c r="AB17" i="23"/>
  <c r="R17" i="23"/>
  <c r="AE34" i="19"/>
  <c r="AF34" i="19"/>
  <c r="AH34" i="19"/>
  <c r="AK34" i="19"/>
  <c r="AL34" i="19"/>
  <c r="AM34" i="19"/>
  <c r="AA35" i="19"/>
  <c r="AB35" i="19"/>
  <c r="AC35" i="19"/>
  <c r="AD35" i="19"/>
  <c r="AE35" i="19"/>
  <c r="AF35" i="19"/>
  <c r="AK35" i="19"/>
  <c r="AL35" i="19"/>
  <c r="AM35" i="19"/>
  <c r="AD36" i="19"/>
  <c r="AE36" i="19"/>
  <c r="AF36" i="19"/>
  <c r="AK36" i="19"/>
  <c r="AL36" i="19"/>
  <c r="AM36" i="19"/>
  <c r="AA37" i="19"/>
  <c r="AB37" i="19"/>
  <c r="AC37" i="19"/>
  <c r="AD37" i="19"/>
  <c r="AE37" i="19"/>
  <c r="AF37" i="19"/>
  <c r="AG37" i="19"/>
  <c r="AH37" i="19"/>
  <c r="AK37" i="19"/>
  <c r="AL37" i="19"/>
  <c r="AM37" i="19"/>
  <c r="AA38" i="19"/>
  <c r="AB38" i="19"/>
  <c r="AC38" i="19"/>
  <c r="AD38" i="19"/>
  <c r="AE38" i="19"/>
  <c r="AF38" i="19"/>
  <c r="AG38" i="19"/>
  <c r="AH38" i="19"/>
  <c r="AK38" i="19"/>
  <c r="AL38" i="19"/>
  <c r="AM38" i="19"/>
  <c r="AA39" i="19"/>
  <c r="AB39" i="19"/>
  <c r="AC39" i="19"/>
  <c r="AD39" i="19"/>
  <c r="AE39" i="19"/>
  <c r="AF39" i="19"/>
  <c r="AG39" i="19"/>
  <c r="AH39" i="19"/>
  <c r="AI39" i="19"/>
  <c r="AK39" i="19"/>
  <c r="AL39" i="19"/>
  <c r="AM39" i="19"/>
  <c r="AC40" i="19"/>
  <c r="AD40" i="19"/>
  <c r="AE40" i="19"/>
  <c r="AH40" i="19"/>
  <c r="AI40" i="19"/>
  <c r="AK40" i="19"/>
  <c r="AL40" i="19"/>
  <c r="AM40" i="19"/>
  <c r="AA41" i="19"/>
  <c r="AC41" i="19"/>
  <c r="AD41" i="19"/>
  <c r="AE41" i="19"/>
  <c r="AH41" i="19"/>
  <c r="AL41" i="19"/>
  <c r="AM41" i="19"/>
  <c r="AA42" i="19"/>
  <c r="AC42" i="19"/>
  <c r="AD42" i="19"/>
  <c r="AE42" i="19"/>
  <c r="AF42" i="19"/>
  <c r="AH42" i="19"/>
  <c r="AL42" i="19"/>
  <c r="AM42" i="19"/>
  <c r="AA43" i="19"/>
  <c r="AB43" i="19"/>
  <c r="AC43" i="19"/>
  <c r="AD43" i="19"/>
  <c r="AE43" i="19"/>
  <c r="AF43" i="19"/>
  <c r="AG43" i="19"/>
  <c r="AH43" i="19"/>
  <c r="AI43" i="19"/>
  <c r="AK43" i="19"/>
  <c r="AL43" i="19"/>
  <c r="AM43" i="19"/>
  <c r="AA44" i="19"/>
  <c r="AC44" i="19"/>
  <c r="AD44" i="19"/>
  <c r="AE44" i="19"/>
  <c r="AF44" i="19"/>
  <c r="AH44" i="19"/>
  <c r="AI44" i="19"/>
  <c r="AJ44" i="19"/>
  <c r="AK44" i="19"/>
  <c r="AL44" i="19"/>
  <c r="AM44" i="19"/>
  <c r="AA45" i="19"/>
  <c r="AC45" i="19"/>
  <c r="AD45" i="19"/>
  <c r="AE45" i="19"/>
  <c r="AF45" i="19"/>
  <c r="AG45" i="19"/>
  <c r="AH45" i="19"/>
  <c r="AI45" i="19"/>
  <c r="AJ45" i="19"/>
  <c r="AL45" i="19"/>
  <c r="AM45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L29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E54" i="19"/>
  <c r="D53" i="19"/>
  <c r="Z53" i="19" s="1"/>
  <c r="AN53" i="19" s="1"/>
  <c r="R53" i="19" s="1"/>
  <c r="D52" i="19"/>
  <c r="Z52" i="19" s="1"/>
  <c r="AN52" i="19" s="1"/>
  <c r="R52" i="19" s="1"/>
  <c r="D51" i="19"/>
  <c r="Z51" i="19" s="1"/>
  <c r="AN51" i="19" s="1"/>
  <c r="R51" i="19" s="1"/>
  <c r="D50" i="19"/>
  <c r="Z50" i="19" s="1"/>
  <c r="AN50" i="19" s="1"/>
  <c r="R50" i="19" s="1"/>
  <c r="D49" i="19"/>
  <c r="Z49" i="19" s="1"/>
  <c r="AN49" i="19" s="1"/>
  <c r="R49" i="19" s="1"/>
  <c r="D48" i="19"/>
  <c r="Z48" i="19" s="1"/>
  <c r="AN48" i="19" s="1"/>
  <c r="R48" i="19" s="1"/>
  <c r="D47" i="19"/>
  <c r="Z47" i="19" s="1"/>
  <c r="AN47" i="19" s="1"/>
  <c r="R47" i="19" s="1"/>
  <c r="D46" i="19"/>
  <c r="Z46" i="19" s="1"/>
  <c r="AN46" i="19" s="1"/>
  <c r="R46" i="19" s="1"/>
  <c r="D45" i="19"/>
  <c r="Z45" i="19" s="1"/>
  <c r="D44" i="19"/>
  <c r="Z44" i="19" s="1"/>
  <c r="D43" i="19"/>
  <c r="Z43" i="19" s="1"/>
  <c r="D42" i="19"/>
  <c r="Z42" i="19" s="1"/>
  <c r="D41" i="19"/>
  <c r="Z41" i="19" s="1"/>
  <c r="D40" i="19"/>
  <c r="Z40" i="19" s="1"/>
  <c r="D39" i="19"/>
  <c r="AJ39" i="19" s="1"/>
  <c r="D38" i="19"/>
  <c r="Z38" i="19" s="1"/>
  <c r="D37" i="19"/>
  <c r="Z37" i="19" s="1"/>
  <c r="D36" i="19"/>
  <c r="AJ36" i="19" s="1"/>
  <c r="D35" i="19"/>
  <c r="Z35" i="19" s="1"/>
  <c r="D34" i="19"/>
  <c r="Z34" i="19" s="1"/>
  <c r="R16" i="23" l="1"/>
  <c r="S41" i="23" s="1"/>
  <c r="Q4" i="23"/>
  <c r="R19" i="23"/>
  <c r="S44" i="23" s="1"/>
  <c r="T27" i="23"/>
  <c r="T52" i="23" s="1"/>
  <c r="U52" i="23" s="1"/>
  <c r="V52" i="23" s="1"/>
  <c r="S27" i="23"/>
  <c r="S35" i="23"/>
  <c r="T18" i="23"/>
  <c r="T43" i="23" s="1"/>
  <c r="U43" i="23" s="1"/>
  <c r="V43" i="23" s="1"/>
  <c r="S36" i="23"/>
  <c r="S18" i="23"/>
  <c r="T40" i="23"/>
  <c r="U40" i="23" s="1"/>
  <c r="V40" i="23" s="1"/>
  <c r="S24" i="23"/>
  <c r="T24" i="23"/>
  <c r="S49" i="23"/>
  <c r="S13" i="23"/>
  <c r="T13" i="23"/>
  <c r="S38" i="23"/>
  <c r="T20" i="23"/>
  <c r="S20" i="23"/>
  <c r="S45" i="23"/>
  <c r="T23" i="23"/>
  <c r="S23" i="23"/>
  <c r="S48" i="23"/>
  <c r="S28" i="23"/>
  <c r="T28" i="23"/>
  <c r="S53" i="23"/>
  <c r="T11" i="23"/>
  <c r="S11" i="23"/>
  <c r="T10" i="23"/>
  <c r="S10" i="23"/>
  <c r="S9" i="23"/>
  <c r="T9" i="23"/>
  <c r="T22" i="23"/>
  <c r="S22" i="23"/>
  <c r="S47" i="23"/>
  <c r="T26" i="23"/>
  <c r="S26" i="23"/>
  <c r="S51" i="23"/>
  <c r="T25" i="23"/>
  <c r="S25" i="23"/>
  <c r="S50" i="23"/>
  <c r="S21" i="23"/>
  <c r="T21" i="23"/>
  <c r="S46" i="23"/>
  <c r="T17" i="23"/>
  <c r="S17" i="23"/>
  <c r="S42" i="23"/>
  <c r="T12" i="23"/>
  <c r="S12" i="23"/>
  <c r="S37" i="23"/>
  <c r="R54" i="23"/>
  <c r="S16" i="23"/>
  <c r="T14" i="23"/>
  <c r="S14" i="23"/>
  <c r="S39" i="23"/>
  <c r="AG35" i="19"/>
  <c r="AC36" i="19"/>
  <c r="AB36" i="19"/>
  <c r="AA36" i="19"/>
  <c r="AA34" i="19"/>
  <c r="AD34" i="19"/>
  <c r="AC34" i="19"/>
  <c r="AJ43" i="19"/>
  <c r="AG44" i="19"/>
  <c r="AJ42" i="19"/>
  <c r="AB44" i="19"/>
  <c r="AB45" i="19"/>
  <c r="AK45" i="19"/>
  <c r="AN45" i="19"/>
  <c r="R45" i="19" s="1"/>
  <c r="AN43" i="19"/>
  <c r="R43" i="19" s="1"/>
  <c r="AN44" i="19"/>
  <c r="R44" i="19" s="1"/>
  <c r="AF41" i="19"/>
  <c r="AG42" i="19"/>
  <c r="AB42" i="19"/>
  <c r="AK42" i="19"/>
  <c r="AI37" i="19"/>
  <c r="AI42" i="19"/>
  <c r="AJ41" i="19"/>
  <c r="AB34" i="19"/>
  <c r="AB41" i="19"/>
  <c r="AK41" i="19"/>
  <c r="AI41" i="19"/>
  <c r="AG41" i="19"/>
  <c r="AH36" i="19"/>
  <c r="AH35" i="19"/>
  <c r="AI34" i="19"/>
  <c r="AG40" i="19"/>
  <c r="AG36" i="19"/>
  <c r="AF40" i="19"/>
  <c r="AG34" i="19"/>
  <c r="AI38" i="19"/>
  <c r="AI36" i="19"/>
  <c r="AI35" i="19"/>
  <c r="AJ35" i="19"/>
  <c r="Z36" i="19"/>
  <c r="AJ38" i="19"/>
  <c r="AJ37" i="19"/>
  <c r="AN37" i="19" s="1"/>
  <c r="R37" i="19" s="1"/>
  <c r="AB40" i="19"/>
  <c r="AJ40" i="19"/>
  <c r="AJ34" i="19"/>
  <c r="Z39" i="19"/>
  <c r="AN39" i="19" s="1"/>
  <c r="R39" i="19" s="1"/>
  <c r="AA40" i="19"/>
  <c r="K29" i="19"/>
  <c r="D29" i="19"/>
  <c r="C36" i="19"/>
  <c r="Y36" i="19" s="1"/>
  <c r="C37" i="19"/>
  <c r="Y37" i="19" s="1"/>
  <c r="C38" i="19"/>
  <c r="Y38" i="19" s="1"/>
  <c r="C39" i="19"/>
  <c r="Y39" i="19" s="1"/>
  <c r="C40" i="19"/>
  <c r="Y40" i="19" s="1"/>
  <c r="C41" i="19"/>
  <c r="Y41" i="19" s="1"/>
  <c r="C42" i="19"/>
  <c r="Y42" i="19" s="1"/>
  <c r="C43" i="19"/>
  <c r="Y43" i="19" s="1"/>
  <c r="C44" i="19"/>
  <c r="Y44" i="19" s="1"/>
  <c r="C45" i="19"/>
  <c r="Y45" i="19" s="1"/>
  <c r="C46" i="19"/>
  <c r="Y46" i="19" s="1"/>
  <c r="C47" i="19"/>
  <c r="Y47" i="19" s="1"/>
  <c r="C48" i="19"/>
  <c r="Y48" i="19" s="1"/>
  <c r="C49" i="19"/>
  <c r="Y49" i="19" s="1"/>
  <c r="C50" i="19"/>
  <c r="Y50" i="19" s="1"/>
  <c r="C51" i="19"/>
  <c r="Y51" i="19" s="1"/>
  <c r="C52" i="19"/>
  <c r="Y52" i="19" s="1"/>
  <c r="C53" i="19"/>
  <c r="Y53" i="19" s="1"/>
  <c r="O16" i="19"/>
  <c r="O17" i="19"/>
  <c r="O18" i="19"/>
  <c r="O19" i="19"/>
  <c r="O20" i="19"/>
  <c r="O21" i="19"/>
  <c r="I22" i="19"/>
  <c r="J22" i="19" s="1"/>
  <c r="O23" i="19"/>
  <c r="O24" i="19"/>
  <c r="I25" i="19"/>
  <c r="J25" i="19" s="1"/>
  <c r="O26" i="19"/>
  <c r="P26" i="19" s="1"/>
  <c r="O27" i="19"/>
  <c r="P27" i="19" s="1"/>
  <c r="I28" i="19"/>
  <c r="J28" i="19" s="1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C9" i="19" l="1"/>
  <c r="C34" i="19" s="1"/>
  <c r="Y34" i="19" s="1"/>
  <c r="H9" i="19"/>
  <c r="C10" i="19"/>
  <c r="C35" i="19" s="1"/>
  <c r="Y35" i="19" s="1"/>
  <c r="H10" i="19"/>
  <c r="I10" i="19" s="1"/>
  <c r="J10" i="19" s="1"/>
  <c r="T16" i="23"/>
  <c r="T41" i="23" s="1"/>
  <c r="U41" i="23" s="1"/>
  <c r="V41" i="23" s="1"/>
  <c r="S19" i="23"/>
  <c r="T19" i="23"/>
  <c r="T35" i="23"/>
  <c r="U35" i="23" s="1"/>
  <c r="V35" i="23" s="1"/>
  <c r="T36" i="23"/>
  <c r="U36" i="23" s="1"/>
  <c r="V36" i="23" s="1"/>
  <c r="T37" i="23"/>
  <c r="U37" i="23" s="1"/>
  <c r="V37" i="23" s="1"/>
  <c r="T51" i="23"/>
  <c r="U51" i="23" s="1"/>
  <c r="V51" i="23" s="1"/>
  <c r="T47" i="23"/>
  <c r="U47" i="23" s="1"/>
  <c r="V47" i="23" s="1"/>
  <c r="T39" i="23"/>
  <c r="U39" i="23" s="1"/>
  <c r="V39" i="23" s="1"/>
  <c r="S54" i="23"/>
  <c r="T38" i="23"/>
  <c r="U38" i="23" s="1"/>
  <c r="V38" i="23" s="1"/>
  <c r="T46" i="23"/>
  <c r="U46" i="23" s="1"/>
  <c r="V46" i="23" s="1"/>
  <c r="T34" i="23"/>
  <c r="T48" i="23"/>
  <c r="U48" i="23" s="1"/>
  <c r="V48" i="23" s="1"/>
  <c r="T50" i="23"/>
  <c r="U50" i="23" s="1"/>
  <c r="V50" i="23" s="1"/>
  <c r="T45" i="23"/>
  <c r="U45" i="23" s="1"/>
  <c r="V45" i="23" s="1"/>
  <c r="T42" i="23"/>
  <c r="U42" i="23" s="1"/>
  <c r="V42" i="23" s="1"/>
  <c r="T53" i="23"/>
  <c r="U53" i="23" s="1"/>
  <c r="V53" i="23" s="1"/>
  <c r="T49" i="23"/>
  <c r="U49" i="23" s="1"/>
  <c r="V49" i="23" s="1"/>
  <c r="Y27" i="19"/>
  <c r="Z27" i="19" s="1"/>
  <c r="Y26" i="19"/>
  <c r="Z26" i="19" s="1"/>
  <c r="AN42" i="19"/>
  <c r="R42" i="19" s="1"/>
  <c r="Q27" i="19"/>
  <c r="Q26" i="19"/>
  <c r="AN41" i="19"/>
  <c r="R41" i="19" s="1"/>
  <c r="AN34" i="19"/>
  <c r="R34" i="19" s="1"/>
  <c r="AN38" i="19"/>
  <c r="R38" i="19" s="1"/>
  <c r="AN36" i="19"/>
  <c r="R36" i="19" s="1"/>
  <c r="AN35" i="19"/>
  <c r="R35" i="19" s="1"/>
  <c r="I14" i="19"/>
  <c r="J14" i="19" s="1"/>
  <c r="I13" i="19"/>
  <c r="J13" i="19" s="1"/>
  <c r="I12" i="19"/>
  <c r="J12" i="19" s="1"/>
  <c r="I11" i="19"/>
  <c r="J11" i="19" s="1"/>
  <c r="AN40" i="19"/>
  <c r="R40" i="19" s="1"/>
  <c r="I16" i="19"/>
  <c r="J16" i="19" s="1"/>
  <c r="I23" i="19"/>
  <c r="J23" i="19" s="1"/>
  <c r="I17" i="19"/>
  <c r="J17" i="19" s="1"/>
  <c r="I24" i="19"/>
  <c r="J24" i="19" s="1"/>
  <c r="O25" i="19"/>
  <c r="P25" i="19" s="1"/>
  <c r="Y25" i="19" s="1"/>
  <c r="I27" i="19"/>
  <c r="J27" i="19" s="1"/>
  <c r="O22" i="19"/>
  <c r="I26" i="19"/>
  <c r="J26" i="19" s="1"/>
  <c r="O28" i="19"/>
  <c r="P28" i="19" s="1"/>
  <c r="Y28" i="19" s="1"/>
  <c r="I15" i="19"/>
  <c r="J15" i="19" s="1"/>
  <c r="I21" i="19"/>
  <c r="J21" i="19" s="1"/>
  <c r="I20" i="19"/>
  <c r="J20" i="19" s="1"/>
  <c r="I19" i="19"/>
  <c r="J19" i="19" s="1"/>
  <c r="I18" i="19"/>
  <c r="J18" i="19" s="1"/>
  <c r="P24" i="19"/>
  <c r="Y24" i="19" s="1"/>
  <c r="T29" i="23" l="1"/>
  <c r="T44" i="23"/>
  <c r="U44" i="23" s="1"/>
  <c r="V44" i="23" s="1"/>
  <c r="U34" i="23"/>
  <c r="Z25" i="19"/>
  <c r="Q25" i="19"/>
  <c r="Z24" i="19"/>
  <c r="Q24" i="19"/>
  <c r="Z28" i="19"/>
  <c r="Q28" i="19"/>
  <c r="AA27" i="19"/>
  <c r="AA26" i="19"/>
  <c r="O14" i="19"/>
  <c r="O15" i="19"/>
  <c r="R54" i="19"/>
  <c r="O11" i="19"/>
  <c r="O9" i="19"/>
  <c r="O13" i="19"/>
  <c r="O12" i="19"/>
  <c r="O10" i="19"/>
  <c r="H29" i="19"/>
  <c r="I9" i="19"/>
  <c r="J9" i="19" s="1"/>
  <c r="T54" i="23" l="1"/>
  <c r="U54" i="23"/>
  <c r="G4" i="23" s="1"/>
  <c r="V34" i="23"/>
  <c r="V54" i="23" s="1"/>
  <c r="J4" i="23" s="1"/>
  <c r="M4" i="23" s="1"/>
  <c r="T4" i="23" s="1"/>
  <c r="I29" i="19"/>
  <c r="AA24" i="19"/>
  <c r="AA25" i="19"/>
  <c r="AB26" i="19"/>
  <c r="R26" i="19"/>
  <c r="T26" i="19" s="1"/>
  <c r="AB27" i="19"/>
  <c r="R27" i="19"/>
  <c r="T27" i="19" s="1"/>
  <c r="AA28" i="19"/>
  <c r="P16" i="19"/>
  <c r="Y16" i="19" s="1"/>
  <c r="P17" i="19"/>
  <c r="Y17" i="19" s="1"/>
  <c r="P18" i="19"/>
  <c r="Y18" i="19" s="1"/>
  <c r="P19" i="19"/>
  <c r="Y19" i="19" s="1"/>
  <c r="P20" i="19"/>
  <c r="Y20" i="19" s="1"/>
  <c r="P21" i="19"/>
  <c r="Y21" i="19" s="1"/>
  <c r="P22" i="19"/>
  <c r="Y22" i="19" s="1"/>
  <c r="P23" i="19"/>
  <c r="Y23" i="19" s="1"/>
  <c r="P9" i="19"/>
  <c r="Q9" i="19" l="1"/>
  <c r="AA9" i="19" s="1"/>
  <c r="Y9" i="19"/>
  <c r="Z9" i="19" s="1"/>
  <c r="Z22" i="19"/>
  <c r="Q22" i="19"/>
  <c r="Z19" i="19"/>
  <c r="Q19" i="19"/>
  <c r="Z18" i="19"/>
  <c r="Q18" i="19"/>
  <c r="Z17" i="19"/>
  <c r="Q17" i="19"/>
  <c r="Z16" i="19"/>
  <c r="Q16" i="19"/>
  <c r="Z21" i="19"/>
  <c r="Q21" i="19"/>
  <c r="Z20" i="19"/>
  <c r="Q20" i="19"/>
  <c r="Z23" i="19"/>
  <c r="Q23" i="19"/>
  <c r="AB28" i="19"/>
  <c r="R28" i="19"/>
  <c r="T28" i="19" s="1"/>
  <c r="S52" i="19"/>
  <c r="T52" i="19" s="1"/>
  <c r="U52" i="19" s="1"/>
  <c r="V52" i="19" s="1"/>
  <c r="S27" i="19"/>
  <c r="S51" i="19"/>
  <c r="T51" i="19" s="1"/>
  <c r="U51" i="19" s="1"/>
  <c r="V51" i="19" s="1"/>
  <c r="S26" i="19"/>
  <c r="AB25" i="19"/>
  <c r="R25" i="19"/>
  <c r="T25" i="19" s="1"/>
  <c r="R24" i="19"/>
  <c r="T24" i="19" s="1"/>
  <c r="AB24" i="19"/>
  <c r="P12" i="19"/>
  <c r="P11" i="19"/>
  <c r="P10" i="19"/>
  <c r="P15" i="19"/>
  <c r="P14" i="19"/>
  <c r="P13" i="19"/>
  <c r="Q15" i="19" l="1"/>
  <c r="Y15" i="19"/>
  <c r="Q10" i="19"/>
  <c r="Y10" i="19"/>
  <c r="Z10" i="19" s="1"/>
  <c r="Q11" i="19"/>
  <c r="Y11" i="19"/>
  <c r="Q12" i="19"/>
  <c r="Y12" i="19"/>
  <c r="Q13" i="19"/>
  <c r="Y13" i="19"/>
  <c r="Q14" i="19"/>
  <c r="Y14" i="19"/>
  <c r="S50" i="19"/>
  <c r="T50" i="19" s="1"/>
  <c r="U50" i="19" s="1"/>
  <c r="V50" i="19" s="1"/>
  <c r="S25" i="19"/>
  <c r="AA20" i="19"/>
  <c r="AA17" i="19"/>
  <c r="AA18" i="19"/>
  <c r="AA21" i="19"/>
  <c r="AA19" i="19"/>
  <c r="AA22" i="19"/>
  <c r="AA16" i="19"/>
  <c r="AB16" i="19" s="1"/>
  <c r="AA23" i="19"/>
  <c r="S53" i="19"/>
  <c r="T53" i="19" s="1"/>
  <c r="U53" i="19" s="1"/>
  <c r="V53" i="19" s="1"/>
  <c r="S28" i="19"/>
  <c r="S49" i="19"/>
  <c r="T49" i="19" s="1"/>
  <c r="U49" i="19" s="1"/>
  <c r="V49" i="19" s="1"/>
  <c r="S24" i="19"/>
  <c r="R9" i="19"/>
  <c r="T9" i="19" s="1"/>
  <c r="AB9" i="19"/>
  <c r="S34" i="19" l="1"/>
  <c r="Q4" i="19"/>
  <c r="R16" i="19"/>
  <c r="AA11" i="19"/>
  <c r="AB11" i="19" s="1"/>
  <c r="Z14" i="19"/>
  <c r="AB18" i="19"/>
  <c r="R18" i="19"/>
  <c r="T18" i="19" s="1"/>
  <c r="AA10" i="19"/>
  <c r="AA14" i="19"/>
  <c r="AB14" i="19" s="1"/>
  <c r="AB17" i="19"/>
  <c r="R17" i="19"/>
  <c r="T17" i="19" s="1"/>
  <c r="Z13" i="19"/>
  <c r="AB20" i="19"/>
  <c r="R20" i="19"/>
  <c r="T20" i="19" s="1"/>
  <c r="Z15" i="19"/>
  <c r="AA13" i="19"/>
  <c r="AB13" i="19" s="1"/>
  <c r="AA15" i="19"/>
  <c r="AB15" i="19" s="1"/>
  <c r="R22" i="19"/>
  <c r="T22" i="19" s="1"/>
  <c r="AB22" i="19"/>
  <c r="AB19" i="19"/>
  <c r="R19" i="19"/>
  <c r="T19" i="19" s="1"/>
  <c r="Z12" i="19"/>
  <c r="Z11" i="19"/>
  <c r="R23" i="19"/>
  <c r="T23" i="19" s="1"/>
  <c r="AB23" i="19"/>
  <c r="AB21" i="19"/>
  <c r="R21" i="19"/>
  <c r="T21" i="19" s="1"/>
  <c r="AA12" i="19"/>
  <c r="AB12" i="19" s="1"/>
  <c r="S9" i="19"/>
  <c r="S41" i="19" l="1"/>
  <c r="T16" i="19"/>
  <c r="T34" i="19"/>
  <c r="U34" i="19" s="1"/>
  <c r="V34" i="19" s="1"/>
  <c r="R14" i="19"/>
  <c r="R11" i="19"/>
  <c r="R15" i="19"/>
  <c r="R12" i="19"/>
  <c r="T12" i="19" s="1"/>
  <c r="R13" i="19"/>
  <c r="S16" i="19"/>
  <c r="S21" i="19"/>
  <c r="S46" i="19"/>
  <c r="T46" i="19" s="1"/>
  <c r="U46" i="19" s="1"/>
  <c r="V46" i="19" s="1"/>
  <c r="S17" i="19"/>
  <c r="S42" i="19"/>
  <c r="T42" i="19" s="1"/>
  <c r="U42" i="19" s="1"/>
  <c r="V42" i="19" s="1"/>
  <c r="S47" i="19"/>
  <c r="T47" i="19" s="1"/>
  <c r="U47" i="19" s="1"/>
  <c r="V47" i="19" s="1"/>
  <c r="S22" i="19"/>
  <c r="S23" i="19"/>
  <c r="S48" i="19"/>
  <c r="T48" i="19" s="1"/>
  <c r="U48" i="19" s="1"/>
  <c r="V48" i="19" s="1"/>
  <c r="R10" i="19"/>
  <c r="T10" i="19" s="1"/>
  <c r="AB10" i="19"/>
  <c r="S18" i="19"/>
  <c r="S43" i="19"/>
  <c r="T43" i="19" s="1"/>
  <c r="U43" i="19" s="1"/>
  <c r="V43" i="19" s="1"/>
  <c r="S20" i="19"/>
  <c r="S45" i="19"/>
  <c r="T45" i="19" s="1"/>
  <c r="U45" i="19" s="1"/>
  <c r="V45" i="19" s="1"/>
  <c r="S44" i="19"/>
  <c r="T44" i="19" s="1"/>
  <c r="U44" i="19" s="1"/>
  <c r="V44" i="19" s="1"/>
  <c r="S19" i="19"/>
  <c r="T41" i="19" l="1"/>
  <c r="U41" i="19" s="1"/>
  <c r="V41" i="19" s="1"/>
  <c r="S39" i="19"/>
  <c r="T14" i="19"/>
  <c r="S38" i="19"/>
  <c r="T13" i="19"/>
  <c r="S40" i="19"/>
  <c r="T15" i="19"/>
  <c r="S11" i="19"/>
  <c r="T11" i="19"/>
  <c r="S36" i="19"/>
  <c r="S37" i="19"/>
  <c r="T37" i="19" s="1"/>
  <c r="U37" i="19" s="1"/>
  <c r="V37" i="19" s="1"/>
  <c r="S14" i="19"/>
  <c r="S12" i="19"/>
  <c r="S13" i="19"/>
  <c r="S15" i="19"/>
  <c r="S10" i="19"/>
  <c r="S35" i="19"/>
  <c r="T35" i="19" s="1"/>
  <c r="U35" i="19" s="1"/>
  <c r="V35" i="19" s="1"/>
  <c r="T38" i="19" l="1"/>
  <c r="U38" i="19" s="1"/>
  <c r="V38" i="19" s="1"/>
  <c r="T40" i="19"/>
  <c r="U40" i="19" s="1"/>
  <c r="V40" i="19" s="1"/>
  <c r="T39" i="19"/>
  <c r="U39" i="19" s="1"/>
  <c r="V39" i="19" s="1"/>
  <c r="T36" i="19"/>
  <c r="T29" i="19"/>
  <c r="S54" i="19"/>
  <c r="U36" i="19" l="1"/>
  <c r="V36" i="19" s="1"/>
  <c r="V54" i="19" s="1"/>
  <c r="T54" i="19"/>
  <c r="U54" i="19" l="1"/>
  <c r="G4" i="19" s="1"/>
  <c r="J4" i="19"/>
  <c r="M4" i="19" s="1"/>
  <c r="T4" i="19" s="1"/>
</calcChain>
</file>

<file path=xl/sharedStrings.xml><?xml version="1.0" encoding="utf-8"?>
<sst xmlns="http://schemas.openxmlformats.org/spreadsheetml/2006/main" count="276" uniqueCount="115">
  <si>
    <t>判定</t>
    <rPh sb="0" eb="2">
      <t>ハンテイ</t>
    </rPh>
    <phoneticPr fontId="2"/>
  </si>
  <si>
    <t>器具・継手類・弁類の直管換算長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1">
      <t>チョク</t>
    </rPh>
    <rPh sb="11" eb="12">
      <t>カン</t>
    </rPh>
    <rPh sb="12" eb="14">
      <t>カンサン</t>
    </rPh>
    <rPh sb="14" eb="15">
      <t>チョウ</t>
    </rPh>
    <phoneticPr fontId="2"/>
  </si>
  <si>
    <t>（単位：ｍ）</t>
    <rPh sb="1" eb="3">
      <t>タンイ</t>
    </rPh>
    <phoneticPr fontId="2"/>
  </si>
  <si>
    <t>呼び径
[ｍｍ]</t>
    <rPh sb="0" eb="1">
      <t>ヨ</t>
    </rPh>
    <rPh sb="2" eb="3">
      <t>ケイ</t>
    </rPh>
    <phoneticPr fontId="2"/>
  </si>
  <si>
    <t>サドル
分水栓</t>
    <rPh sb="4" eb="5">
      <t>ブン</t>
    </rPh>
    <rPh sb="5" eb="6">
      <t>スイ</t>
    </rPh>
    <rPh sb="6" eb="7">
      <t>セン</t>
    </rPh>
    <phoneticPr fontId="2"/>
  </si>
  <si>
    <t>メーター
ユニット</t>
    <phoneticPr fontId="2"/>
  </si>
  <si>
    <t>丙水栓</t>
    <rPh sb="0" eb="1">
      <t>ヘイ</t>
    </rPh>
    <rPh sb="1" eb="2">
      <t>スイ</t>
    </rPh>
    <rPh sb="2" eb="3">
      <t>セン</t>
    </rPh>
    <phoneticPr fontId="2"/>
  </si>
  <si>
    <t>単式逆止弁</t>
    <rPh sb="0" eb="2">
      <t>タンシキ</t>
    </rPh>
    <rPh sb="2" eb="3">
      <t>ギャク</t>
    </rPh>
    <rPh sb="3" eb="4">
      <t>ト</t>
    </rPh>
    <phoneticPr fontId="2"/>
  </si>
  <si>
    <t>異径ｿｹｯﾄ</t>
    <rPh sb="0" eb="1">
      <t>イ</t>
    </rPh>
    <rPh sb="1" eb="2">
      <t>ケイ</t>
    </rPh>
    <phoneticPr fontId="2"/>
  </si>
  <si>
    <t>ウエストン公式</t>
  </si>
  <si>
    <t>ヘーゼン・ウィリアムズ公式</t>
    <rPh sb="11" eb="13">
      <t>コウシキ</t>
    </rPh>
    <phoneticPr fontId="3"/>
  </si>
  <si>
    <t>区間</t>
    <rPh sb="0" eb="2">
      <t>クカン</t>
    </rPh>
    <phoneticPr fontId="2"/>
  </si>
  <si>
    <t>No.</t>
    <phoneticPr fontId="2"/>
  </si>
  <si>
    <t>ℓ/min</t>
  </si>
  <si>
    <t>ℓ/min</t>
    <phoneticPr fontId="2"/>
  </si>
  <si>
    <t>㎥/s</t>
  </si>
  <si>
    <t>個</t>
    <rPh sb="0" eb="1">
      <t>コ</t>
    </rPh>
    <phoneticPr fontId="2"/>
  </si>
  <si>
    <t>ｍ</t>
    <phoneticPr fontId="2"/>
  </si>
  <si>
    <t>平均
流速</t>
    <rPh sb="0" eb="2">
      <t>ヘイキン</t>
    </rPh>
    <rPh sb="3" eb="5">
      <t>リュウソク</t>
    </rPh>
    <phoneticPr fontId="2"/>
  </si>
  <si>
    <t>MPa</t>
    <phoneticPr fontId="2"/>
  </si>
  <si>
    <t>ｍｍ</t>
    <phoneticPr fontId="2"/>
  </si>
  <si>
    <t>ｍ/s</t>
    <phoneticPr fontId="2"/>
  </si>
  <si>
    <t>計</t>
    <rPh sb="0" eb="1">
      <t>ケイ</t>
    </rPh>
    <phoneticPr fontId="2"/>
  </si>
  <si>
    <t>損失
水頭</t>
    <rPh sb="0" eb="2">
      <t>ソンシツ</t>
    </rPh>
    <rPh sb="3" eb="5">
      <t>スイトウ</t>
    </rPh>
    <phoneticPr fontId="2"/>
  </si>
  <si>
    <t>累計
流量</t>
    <rPh sb="0" eb="2">
      <t>ルイケイ</t>
    </rPh>
    <rPh sb="3" eb="5">
      <t>リュウリョウ</t>
    </rPh>
    <phoneticPr fontId="2"/>
  </si>
  <si>
    <t>主管
口径</t>
    <rPh sb="0" eb="2">
      <t>シュカン</t>
    </rPh>
    <rPh sb="3" eb="5">
      <t>コウケイ</t>
    </rPh>
    <phoneticPr fontId="2"/>
  </si>
  <si>
    <t>ウエストン式
動水勾配</t>
    <rPh sb="5" eb="6">
      <t>シキ</t>
    </rPh>
    <rPh sb="7" eb="8">
      <t>ドウ</t>
    </rPh>
    <rPh sb="8" eb="9">
      <t>ミズ</t>
    </rPh>
    <rPh sb="9" eb="11">
      <t>コウバイ</t>
    </rPh>
    <phoneticPr fontId="2"/>
  </si>
  <si>
    <t>直管
換算長</t>
    <rPh sb="0" eb="2">
      <t>チョッカン</t>
    </rPh>
    <rPh sb="3" eb="5">
      <t>カンサン</t>
    </rPh>
    <rPh sb="5" eb="6">
      <t>チョウ</t>
    </rPh>
    <phoneticPr fontId="2"/>
  </si>
  <si>
    <t>器具・継手類・弁類の損失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2">
      <t>ソンシツ</t>
    </rPh>
    <phoneticPr fontId="2"/>
  </si>
  <si>
    <t>以上</t>
    <rPh sb="0" eb="2">
      <t>イジョウ</t>
    </rPh>
    <phoneticPr fontId="2"/>
  </si>
  <si>
    <t>（個）</t>
    <rPh sb="1" eb="2">
      <t>コ</t>
    </rPh>
    <phoneticPr fontId="2"/>
  </si>
  <si>
    <t>最大平均流速</t>
    <rPh sb="0" eb="2">
      <t>サイダイ</t>
    </rPh>
    <rPh sb="2" eb="4">
      <t>ヘイキン</t>
    </rPh>
    <rPh sb="4" eb="6">
      <t>リュウソク</t>
    </rPh>
    <phoneticPr fontId="2"/>
  </si>
  <si>
    <t>区間
同時使用
水栓数</t>
    <rPh sb="0" eb="2">
      <t>クカン</t>
    </rPh>
    <rPh sb="3" eb="5">
      <t>ドウジ</t>
    </rPh>
    <rPh sb="5" eb="7">
      <t>シヨウ</t>
    </rPh>
    <rPh sb="8" eb="10">
      <t>スイセン</t>
    </rPh>
    <rPh sb="10" eb="11">
      <t>スウ</t>
    </rPh>
    <phoneticPr fontId="2"/>
  </si>
  <si>
    <t>メーター
（接線羽根車）</t>
  </si>
  <si>
    <t>合計
損失
水頭</t>
    <rPh sb="0" eb="2">
      <t>ゴウケイ</t>
    </rPh>
    <rPh sb="3" eb="5">
      <t>ソンシツ</t>
    </rPh>
    <rPh sb="6" eb="8">
      <t>スイトウ</t>
    </rPh>
    <phoneticPr fontId="2"/>
  </si>
  <si>
    <t>乙止水栓
ﾎﾞｰﾙﾊﾞﾙﾌﾞ
ｹﾞｰﾄﾊﾞﾙﾌﾞ</t>
    <rPh sb="0" eb="1">
      <t>オツ</t>
    </rPh>
    <rPh sb="1" eb="3">
      <t>シスイ</t>
    </rPh>
    <rPh sb="3" eb="4">
      <t>セン</t>
    </rPh>
    <phoneticPr fontId="2"/>
  </si>
  <si>
    <t>９０°
エルボ</t>
    <phoneticPr fontId="2"/>
  </si>
  <si>
    <t>４５°
エルボ</t>
    <phoneticPr fontId="2"/>
  </si>
  <si>
    <t>単式
逆止弁</t>
    <rPh sb="0" eb="2">
      <t>タンシキ</t>
    </rPh>
    <rPh sb="3" eb="4">
      <t>ギャク</t>
    </rPh>
    <rPh sb="4" eb="5">
      <t>ト</t>
    </rPh>
    <phoneticPr fontId="2"/>
  </si>
  <si>
    <r>
      <rPr>
        <vertAlign val="superscript"/>
        <sz val="10"/>
        <color theme="1"/>
        <rFont val="HG丸ｺﾞｼｯｸM-PRO"/>
        <family val="3"/>
        <charset val="128"/>
      </rPr>
      <t>0</t>
    </r>
    <r>
      <rPr>
        <sz val="10"/>
        <color theme="1"/>
        <rFont val="HG丸ｺﾞｼｯｸM-PRO"/>
        <family val="3"/>
        <charset val="128"/>
      </rPr>
      <t>/</t>
    </r>
    <r>
      <rPr>
        <vertAlign val="subscript"/>
        <sz val="10"/>
        <color theme="1"/>
        <rFont val="HG丸ｺﾞｼｯｸM-PRO"/>
        <family val="3"/>
        <charset val="128"/>
      </rPr>
      <t>00</t>
    </r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</si>
  <si>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</si>
  <si>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</si>
  <si>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</si>
  <si>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</si>
  <si>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</si>
  <si>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</si>
  <si>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</si>
  <si>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</si>
  <si>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</si>
  <si>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</si>
  <si>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</si>
  <si>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</si>
  <si>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</si>
  <si>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</si>
  <si>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</si>
  <si>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</si>
  <si>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</si>
  <si>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</si>
  <si>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</si>
  <si>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</si>
  <si>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Ｕ</t>
    <phoneticPr fontId="2"/>
  </si>
  <si>
    <t>区間
(Ａ：管末)</t>
    <rPh sb="0" eb="2">
      <t>クカン</t>
    </rPh>
    <rPh sb="6" eb="8">
      <t>カンマツ</t>
    </rPh>
    <phoneticPr fontId="2"/>
  </si>
  <si>
    <t>動水勾配</t>
    <rPh sb="0" eb="1">
      <t>ドウ</t>
    </rPh>
    <rPh sb="1" eb="2">
      <t>ミズ</t>
    </rPh>
    <rPh sb="2" eb="4">
      <t>コウバイ</t>
    </rPh>
    <phoneticPr fontId="2"/>
  </si>
  <si>
    <t>ヘーゼン・ウィリアムス式動水勾配</t>
    <rPh sb="11" eb="12">
      <t>シキ</t>
    </rPh>
    <rPh sb="12" eb="13">
      <t>ドウ</t>
    </rPh>
    <rPh sb="13" eb="14">
      <t>ミズ</t>
    </rPh>
    <rPh sb="14" eb="16">
      <t>コウバイ</t>
    </rPh>
    <phoneticPr fontId="2"/>
  </si>
  <si>
    <t>φ７５以上</t>
    <rPh sb="3" eb="5">
      <t>イジョウ</t>
    </rPh>
    <phoneticPr fontId="2"/>
  </si>
  <si>
    <t>φ５０以下</t>
    <rPh sb="3" eb="5">
      <t>イカ</t>
    </rPh>
    <phoneticPr fontId="2"/>
  </si>
  <si>
    <t>流速係数</t>
    <rPh sb="0" eb="2">
      <t>リュウソク</t>
    </rPh>
    <rPh sb="2" eb="4">
      <t>ケイスウ</t>
    </rPh>
    <phoneticPr fontId="2"/>
  </si>
  <si>
    <t>同時使用水栓一栓当たり</t>
    <rPh sb="0" eb="2">
      <t>ドウジ</t>
    </rPh>
    <rPh sb="2" eb="4">
      <t>シヨウ</t>
    </rPh>
    <rPh sb="4" eb="6">
      <t>スイセン</t>
    </rPh>
    <rPh sb="6" eb="7">
      <t>イチ</t>
    </rPh>
    <rPh sb="7" eb="8">
      <t>セン</t>
    </rPh>
    <rPh sb="8" eb="9">
      <t>ア</t>
    </rPh>
    <phoneticPr fontId="2"/>
  </si>
  <si>
    <t>ｍ/s</t>
  </si>
  <si>
    <t>以下</t>
    <rPh sb="0" eb="2">
      <t>イカ</t>
    </rPh>
    <phoneticPr fontId="2"/>
  </si>
  <si>
    <t>管長</t>
    <rPh sb="0" eb="2">
      <t>カンチョウ</t>
    </rPh>
    <phoneticPr fontId="2"/>
  </si>
  <si>
    <t>立上り</t>
    <rPh sb="0" eb="2">
      <t>タチアガ</t>
    </rPh>
    <phoneticPr fontId="2"/>
  </si>
  <si>
    <t>管口径</t>
    <rPh sb="0" eb="1">
      <t>カン</t>
    </rPh>
    <rPh sb="1" eb="3">
      <t>コウケイ</t>
    </rPh>
    <phoneticPr fontId="2"/>
  </si>
  <si>
    <t>メーター</t>
    <phoneticPr fontId="2"/>
  </si>
  <si>
    <t>計画最小動水圧</t>
    <rPh sb="0" eb="2">
      <t>ケイカク</t>
    </rPh>
    <rPh sb="2" eb="4">
      <t>サイショウ</t>
    </rPh>
    <rPh sb="4" eb="5">
      <t>ドウ</t>
    </rPh>
    <rPh sb="5" eb="7">
      <t>スイアツ</t>
    </rPh>
    <phoneticPr fontId="2"/>
  </si>
  <si>
    <t>給水用具
(水栓)口径</t>
    <rPh sb="0" eb="2">
      <t>キュウスイ</t>
    </rPh>
    <rPh sb="2" eb="4">
      <t>ヨウグ</t>
    </rPh>
    <rPh sb="6" eb="8">
      <t>スイセン</t>
    </rPh>
    <rPh sb="9" eb="11">
      <t>コウケイ</t>
    </rPh>
    <phoneticPr fontId="2"/>
  </si>
  <si>
    <t>メーター
ユニット
(ﾒｰﾀｰ含)</t>
    <rPh sb="15" eb="16">
      <t>フク</t>
    </rPh>
    <phoneticPr fontId="2"/>
  </si>
  <si>
    <t>メーター
口径</t>
    <rPh sb="5" eb="7">
      <t>コウケイ</t>
    </rPh>
    <phoneticPr fontId="3"/>
  </si>
  <si>
    <t>同時使用
水栓数</t>
    <rPh sb="0" eb="2">
      <t>ドウジ</t>
    </rPh>
    <rPh sb="2" eb="4">
      <t>シヨウ</t>
    </rPh>
    <rPh sb="5" eb="7">
      <t>スイセン</t>
    </rPh>
    <rPh sb="7" eb="8">
      <t>スウ</t>
    </rPh>
    <phoneticPr fontId="3"/>
  </si>
  <si>
    <t>「水理計算シート」操作方法</t>
    <rPh sb="1" eb="3">
      <t>スイリ</t>
    </rPh>
    <rPh sb="3" eb="5">
      <t>ケイサン</t>
    </rPh>
    <rPh sb="9" eb="11">
      <t>ソウサ</t>
    </rPh>
    <rPh sb="11" eb="13">
      <t>ホウホウ</t>
    </rPh>
    <phoneticPr fontId="2"/>
  </si>
  <si>
    <t>管の損失</t>
    <rPh sb="0" eb="1">
      <t>カン</t>
    </rPh>
    <rPh sb="2" eb="4">
      <t>ソンシツ</t>
    </rPh>
    <phoneticPr fontId="2"/>
  </si>
  <si>
    <t>所要水頭</t>
    <rPh sb="0" eb="2">
      <t>ショヨウ</t>
    </rPh>
    <rPh sb="2" eb="4">
      <t>スイトウ</t>
    </rPh>
    <phoneticPr fontId="2"/>
  </si>
  <si>
    <t>所要圧力</t>
    <rPh sb="0" eb="2">
      <t>ショヨウ</t>
    </rPh>
    <rPh sb="2" eb="4">
      <t>アツリョク</t>
    </rPh>
    <phoneticPr fontId="2"/>
  </si>
  <si>
    <t>所要
水頭</t>
    <rPh sb="0" eb="2">
      <t>ショヨウ</t>
    </rPh>
    <rPh sb="3" eb="5">
      <t>スイトウ</t>
    </rPh>
    <phoneticPr fontId="2"/>
  </si>
  <si>
    <t>所要
圧力</t>
    <rPh sb="0" eb="2">
      <t>ショヨウ</t>
    </rPh>
    <rPh sb="3" eb="5">
      <t>アツリョク</t>
    </rPh>
    <phoneticPr fontId="2"/>
  </si>
  <si>
    <t>定水位弁
(ｱﾝｸﾞﾙ型)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</si>
  <si>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定水位弁
(ｽﾄﾚｰﾄ型)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</si>
  <si>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Ｔ字管
(分流)</t>
    <rPh sb="1" eb="2">
      <t>ジ</t>
    </rPh>
    <rPh sb="2" eb="3">
      <t>カン</t>
    </rPh>
    <rPh sb="5" eb="7">
      <t>ブンリュウ</t>
    </rPh>
    <phoneticPr fontId="2"/>
  </si>
  <si>
    <t>Ｔ字管
(直流)</t>
    <rPh sb="1" eb="2">
      <t>ジ</t>
    </rPh>
    <rPh sb="2" eb="3">
      <t>カン</t>
    </rPh>
    <rPh sb="5" eb="7">
      <t>チョクリュウ</t>
    </rPh>
    <phoneticPr fontId="2"/>
  </si>
  <si>
    <t>逆止弁付
丙水栓</t>
    <rPh sb="0" eb="3">
      <t>ギャクシベン</t>
    </rPh>
    <rPh sb="3" eb="4">
      <t>ツ</t>
    </rPh>
    <rPh sb="5" eb="6">
      <t>ヘイ</t>
    </rPh>
    <rPh sb="6" eb="7">
      <t>スイ</t>
    </rPh>
    <rPh sb="7" eb="8">
      <t>セン</t>
    </rPh>
    <phoneticPr fontId="2"/>
  </si>
  <si>
    <t>要素</t>
    <rPh sb="0" eb="2">
      <t>ヨウソ</t>
    </rPh>
    <phoneticPr fontId="2"/>
  </si>
  <si>
    <t>１</t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</si>
  <si>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</si>
  <si>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</si>
  <si>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</si>
  <si>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</si>
  <si>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</si>
  <si>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</si>
  <si>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r>
      <t xml:space="preserve">乙止水栓
</t>
    </r>
    <r>
      <rPr>
        <sz val="10"/>
        <color theme="1"/>
        <rFont val="HG丸ｺﾞｼｯｸM-PRO"/>
        <family val="3"/>
        <charset val="128"/>
      </rPr>
      <t>ﾎﾞｰﾙﾊﾞﾙﾌﾞ
ｹﾞｰﾄﾊﾞﾙﾌﾞ</t>
    </r>
    <rPh sb="0" eb="1">
      <t>オツ</t>
    </rPh>
    <rPh sb="1" eb="3">
      <t>シスイ</t>
    </rPh>
    <rPh sb="3" eb="4">
      <t>セン</t>
    </rPh>
    <phoneticPr fontId="2"/>
  </si>
  <si>
    <t>計画最小動水圧は０．２ＭＰaを標準とする。</t>
    <rPh sb="0" eb="2">
      <t>ケイカク</t>
    </rPh>
    <rPh sb="2" eb="4">
      <t>サイショウ</t>
    </rPh>
    <rPh sb="4" eb="6">
      <t>ドウスイ</t>
    </rPh>
    <rPh sb="6" eb="7">
      <t>アツ</t>
    </rPh>
    <rPh sb="15" eb="17">
      <t>ヒョウジュン</t>
    </rPh>
    <phoneticPr fontId="2"/>
  </si>
  <si>
    <t>区間毎に管末の給水用具(水栓)の同時使用水栓数、口径、計画使用流量を入力する。</t>
    <rPh sb="0" eb="2">
      <t>クカン</t>
    </rPh>
    <rPh sb="2" eb="3">
      <t>ゴト</t>
    </rPh>
    <rPh sb="4" eb="6">
      <t>カンマツ</t>
    </rPh>
    <rPh sb="7" eb="9">
      <t>キュウスイ</t>
    </rPh>
    <rPh sb="9" eb="11">
      <t>ヨウグ</t>
    </rPh>
    <rPh sb="12" eb="14">
      <t>スイセン</t>
    </rPh>
    <rPh sb="16" eb="18">
      <t>ドウジ</t>
    </rPh>
    <rPh sb="18" eb="20">
      <t>シヨウ</t>
    </rPh>
    <rPh sb="20" eb="22">
      <t>スイセン</t>
    </rPh>
    <rPh sb="22" eb="23">
      <t>スウ</t>
    </rPh>
    <rPh sb="24" eb="26">
      <t>コウケイ</t>
    </rPh>
    <rPh sb="27" eb="29">
      <t>ケイカク</t>
    </rPh>
    <rPh sb="29" eb="31">
      <t>シヨウ</t>
    </rPh>
    <rPh sb="31" eb="33">
      <t>リュウリョウ</t>
    </rPh>
    <rPh sb="34" eb="36">
      <t>ニュウリョク</t>
    </rPh>
    <phoneticPr fontId="2"/>
  </si>
  <si>
    <t>給水用具
計画
使用流量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phoneticPr fontId="2"/>
  </si>
  <si>
    <t>給水用具
計画
使用流量
(任意値)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rPh sb="14" eb="16">
      <t>ニンイ</t>
    </rPh>
    <rPh sb="16" eb="17">
      <t>チ</t>
    </rPh>
    <phoneticPr fontId="2"/>
  </si>
  <si>
    <t>入力セル</t>
    <rPh sb="0" eb="2">
      <t>ニュウリョク</t>
    </rPh>
    <phoneticPr fontId="2"/>
  </si>
  <si>
    <t>白色のセルに数値を入力する。</t>
    <rPh sb="0" eb="2">
      <t>シロイロ</t>
    </rPh>
    <rPh sb="6" eb="8">
      <t>スウチ</t>
    </rPh>
    <rPh sb="9" eb="11">
      <t>ニュウリョク</t>
    </rPh>
    <phoneticPr fontId="2"/>
  </si>
  <si>
    <t>管末、分岐、異径毎に区間を設定する。</t>
    <rPh sb="0" eb="2">
      <t>カンマツ</t>
    </rPh>
    <rPh sb="3" eb="5">
      <t>ブンキ</t>
    </rPh>
    <rPh sb="6" eb="8">
      <t>イケイ</t>
    </rPh>
    <rPh sb="8" eb="9">
      <t>ゴト</t>
    </rPh>
    <rPh sb="10" eb="12">
      <t>クカン</t>
    </rPh>
    <rPh sb="13" eb="15">
      <t>セッテイ</t>
    </rPh>
    <phoneticPr fontId="2"/>
  </si>
  <si>
    <t>余裕水圧</t>
    <rPh sb="0" eb="2">
      <t>ヨユウ</t>
    </rPh>
    <rPh sb="2" eb="4">
      <t>スイアツ</t>
    </rPh>
    <phoneticPr fontId="2"/>
  </si>
  <si>
    <t>区間毎に器具・継手類・弁類の個数を入力する。</t>
    <rPh sb="0" eb="2">
      <t>クカン</t>
    </rPh>
    <rPh sb="2" eb="3">
      <t>ゴト</t>
    </rPh>
    <rPh sb="14" eb="16">
      <t>コスウ</t>
    </rPh>
    <rPh sb="17" eb="19">
      <t>ニュウリョク</t>
    </rPh>
    <phoneticPr fontId="2"/>
  </si>
  <si>
    <t>水理計算シート</t>
    <rPh sb="0" eb="2">
      <t>スイリ</t>
    </rPh>
    <rPh sb="2" eb="4">
      <t>ケイサン</t>
    </rPh>
    <phoneticPr fontId="2"/>
  </si>
  <si>
    <t>水理計算（例）</t>
    <rPh sb="0" eb="2">
      <t>スイリ</t>
    </rPh>
    <rPh sb="2" eb="4">
      <t>ケイサン</t>
    </rPh>
    <rPh sb="5" eb="6">
      <t>レイ</t>
    </rPh>
    <phoneticPr fontId="2"/>
  </si>
  <si>
    <t>判定が○(マル)であれば完了（エラーのセルは赤く表示されます）</t>
    <rPh sb="0" eb="2">
      <t>ハンテイ</t>
    </rPh>
    <rPh sb="12" eb="14">
      <t>カンリョウ</t>
    </rPh>
    <rPh sb="22" eb="23">
      <t>アカ</t>
    </rPh>
    <rPh sb="24" eb="26">
      <t>ヒョウジ</t>
    </rPh>
    <phoneticPr fontId="2"/>
  </si>
  <si>
    <t>以上必要</t>
    <rPh sb="0" eb="2">
      <t>イジョウ</t>
    </rPh>
    <rPh sb="2" eb="4">
      <t>ヒツヨウ</t>
    </rPh>
    <phoneticPr fontId="2"/>
  </si>
  <si>
    <t>この場合は</t>
    <rPh sb="2" eb="4">
      <t>バアイ</t>
    </rPh>
    <phoneticPr fontId="2"/>
  </si>
  <si>
    <t>逆止弁付
丙水栓</t>
    <rPh sb="0" eb="3">
      <t>ギャクシベン</t>
    </rPh>
    <rPh sb="3" eb="4">
      <t>ツキ</t>
    </rPh>
    <rPh sb="5" eb="6">
      <t>ヘイ</t>
    </rPh>
    <rPh sb="6" eb="7">
      <t>スイ</t>
    </rPh>
    <rPh sb="7" eb="8">
      <t>セン</t>
    </rPh>
    <phoneticPr fontId="2"/>
  </si>
  <si>
    <t>区間毎に管長、立上り、管口径を入力する。</t>
    <rPh sb="0" eb="2">
      <t>クカン</t>
    </rPh>
    <rPh sb="2" eb="3">
      <t>ゴト</t>
    </rPh>
    <rPh sb="4" eb="6">
      <t>カンチョウ</t>
    </rPh>
    <rPh sb="7" eb="9">
      <t>タチアガ</t>
    </rPh>
    <rPh sb="11" eb="12">
      <t>カン</t>
    </rPh>
    <rPh sb="12" eb="14">
      <t>コウケイ</t>
    </rPh>
    <rPh sb="15" eb="1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</si>
</sst>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#,##0.0_ "/>
    <numFmt numFmtId="179" formatCode="0.0_ 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i/>
      <sz val="13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vertAlign val="superscript"/>
      <sz val="10"/>
      <color theme="1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13"/>
      <color theme="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theme="2" tint="-9.9978637043366805E-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FFF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shrinkToFit="1"/>
      <protection locked="0"/>
    </xf>
    <xf numFmtId="2" fontId="7" fillId="0" borderId="1" xfId="0" applyNumberFormat="1" applyFont="1" applyFill="1" applyBorder="1" applyAlignment="1" applyProtection="1">
      <alignment shrinkToFit="1"/>
      <protection locked="0"/>
    </xf>
    <xf numFmtId="0" fontId="7" fillId="0" borderId="27" xfId="0" applyNumberFormat="1" applyFont="1" applyFill="1" applyBorder="1" applyAlignment="1" applyProtection="1">
      <alignment horizontal="center" shrinkToFit="1"/>
      <protection locked="0"/>
    </xf>
    <xf numFmtId="0" fontId="7" fillId="0" borderId="28" xfId="0" applyNumberFormat="1" applyFont="1" applyFill="1" applyBorder="1" applyAlignment="1" applyProtection="1">
      <alignment horizontal="center" shrinkToFit="1"/>
      <protection locked="0"/>
    </xf>
    <xf numFmtId="0" fontId="7" fillId="0" borderId="29" xfId="0" applyNumberFormat="1" applyFont="1" applyFill="1" applyBorder="1" applyAlignment="1" applyProtection="1">
      <alignment horizont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shrinkToFit="1"/>
      <protection locked="0"/>
    </xf>
    <xf numFmtId="0" fontId="7" fillId="0" borderId="31" xfId="0" applyNumberFormat="1" applyFont="1" applyFill="1" applyBorder="1" applyAlignment="1" applyProtection="1">
      <alignment horizontal="center" shrinkToFit="1"/>
      <protection locked="0"/>
    </xf>
    <xf numFmtId="0" fontId="7" fillId="0" borderId="32" xfId="0" applyNumberFormat="1" applyFont="1" applyFill="1" applyBorder="1" applyAlignment="1" applyProtection="1">
      <alignment horizontal="center" shrinkToFit="1"/>
      <protection locked="0"/>
    </xf>
    <xf numFmtId="0" fontId="7" fillId="0" borderId="33" xfId="0" applyNumberFormat="1" applyFont="1" applyFill="1" applyBorder="1" applyAlignment="1" applyProtection="1">
      <alignment horizontal="center" shrinkToFit="1"/>
      <protection locked="0"/>
    </xf>
    <xf numFmtId="0" fontId="7" fillId="0" borderId="34" xfId="0" applyNumberFormat="1" applyFont="1" applyFill="1" applyBorder="1" applyAlignment="1" applyProtection="1">
      <alignment horizontal="center" shrinkToFit="1"/>
      <protection locked="0"/>
    </xf>
    <xf numFmtId="2" fontId="7" fillId="0" borderId="27" xfId="0" applyNumberFormat="1" applyFont="1" applyFill="1" applyBorder="1" applyAlignment="1" applyProtection="1">
      <alignment shrinkToFit="1"/>
      <protection locked="0"/>
    </xf>
    <xf numFmtId="2" fontId="7" fillId="0" borderId="28" xfId="0" applyNumberFormat="1" applyFont="1" applyFill="1" applyBorder="1" applyAlignment="1" applyProtection="1">
      <alignment shrinkToFit="1"/>
      <protection locked="0"/>
    </xf>
    <xf numFmtId="2" fontId="7" fillId="0" borderId="30" xfId="0" applyNumberFormat="1" applyFont="1" applyFill="1" applyBorder="1" applyAlignment="1" applyProtection="1">
      <alignment shrinkToFit="1"/>
      <protection locked="0"/>
    </xf>
    <xf numFmtId="0" fontId="7" fillId="0" borderId="40" xfId="0" applyNumberFormat="1" applyFont="1" applyFill="1" applyBorder="1" applyAlignment="1" applyProtection="1">
      <alignment horizontal="center" shrinkToFit="1"/>
      <protection locked="0"/>
    </xf>
    <xf numFmtId="2" fontId="7" fillId="0" borderId="32" xfId="0" applyNumberFormat="1" applyFont="1" applyFill="1" applyBorder="1" applyAlignment="1" applyProtection="1">
      <alignment shrinkToFit="1"/>
      <protection locked="0"/>
    </xf>
    <xf numFmtId="2" fontId="7" fillId="0" borderId="33" xfId="0" applyNumberFormat="1" applyFont="1" applyFill="1" applyBorder="1" applyAlignment="1" applyProtection="1">
      <alignment shrinkToFit="1"/>
      <protection locked="0"/>
    </xf>
    <xf numFmtId="0" fontId="7" fillId="0" borderId="41" xfId="0" applyNumberFormat="1" applyFont="1" applyFill="1" applyBorder="1" applyAlignment="1" applyProtection="1">
      <alignment horizontal="center" shrinkToFit="1"/>
      <protection locked="0"/>
    </xf>
    <xf numFmtId="176" fontId="17" fillId="0" borderId="43" xfId="0" applyNumberFormat="1" applyFont="1" applyFill="1" applyBorder="1" applyAlignment="1" applyProtection="1">
      <alignment vertical="center" shrinkToFit="1"/>
      <protection locked="0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78" fontId="21" fillId="0" borderId="22" xfId="1" applyNumberFormat="1" applyFont="1" applyBorder="1" applyAlignment="1">
      <alignment horizontal="center" vertical="center"/>
    </xf>
    <xf numFmtId="179" fontId="21" fillId="0" borderId="3" xfId="1" applyNumberFormat="1" applyFont="1" applyBorder="1" applyAlignment="1">
      <alignment horizontal="center" vertical="center"/>
    </xf>
    <xf numFmtId="179" fontId="21" fillId="0" borderId="1" xfId="1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80" fontId="21" fillId="0" borderId="1" xfId="2" applyNumberFormat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80" fontId="21" fillId="0" borderId="6" xfId="2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 shrinkToFit="1"/>
    </xf>
    <xf numFmtId="0" fontId="6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vertical="center" shrinkToFit="1"/>
    </xf>
    <xf numFmtId="0" fontId="16" fillId="2" borderId="44" xfId="0" applyNumberFormat="1" applyFont="1" applyFill="1" applyBorder="1" applyAlignment="1">
      <alignment vertical="center" shrinkToFit="1"/>
    </xf>
    <xf numFmtId="176" fontId="18" fillId="2" borderId="8" xfId="0" applyNumberFormat="1" applyFont="1" applyFill="1" applyBorder="1" applyAlignment="1">
      <alignment vertical="center" shrinkToFit="1"/>
    </xf>
    <xf numFmtId="0" fontId="16" fillId="2" borderId="5" xfId="0" applyNumberFormat="1" applyFont="1" applyFill="1" applyBorder="1" applyAlignment="1">
      <alignment vertic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7" fillId="2" borderId="5" xfId="0" applyNumberFormat="1" applyFont="1" applyFill="1" applyBorder="1" applyAlignment="1">
      <alignment horizontal="center" vertical="center" shrinkToFit="1"/>
    </xf>
    <xf numFmtId="0" fontId="6" fillId="2" borderId="0" xfId="0" applyNumberFormat="1" applyFont="1" applyFill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shrinkToFit="1"/>
    </xf>
    <xf numFmtId="176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shrinkToFit="1"/>
    </xf>
    <xf numFmtId="176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Alignment="1">
      <alignment horizontal="left" vertical="top" shrinkToFit="1"/>
    </xf>
    <xf numFmtId="2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horizontal="left" vertical="top" shrinkToFit="1"/>
    </xf>
    <xf numFmtId="0" fontId="6" fillId="2" borderId="0" xfId="0" applyNumberFormat="1" applyFont="1" applyFill="1" applyBorder="1" applyAlignment="1">
      <alignment horizontal="right" shrinkToFit="1"/>
    </xf>
    <xf numFmtId="0" fontId="9" fillId="2" borderId="0" xfId="0" applyNumberFormat="1" applyFont="1" applyFill="1" applyBorder="1" applyAlignment="1">
      <alignment horizontal="center" shrinkToFit="1"/>
    </xf>
    <xf numFmtId="0" fontId="6" fillId="2" borderId="44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right"/>
    </xf>
    <xf numFmtId="0" fontId="12" fillId="2" borderId="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shrinkToFit="1"/>
    </xf>
    <xf numFmtId="0" fontId="6" fillId="2" borderId="4" xfId="0" applyNumberFormat="1" applyFont="1" applyFill="1" applyBorder="1" applyAlignment="1">
      <alignment horizontal="center" shrinkToFit="1"/>
    </xf>
    <xf numFmtId="176" fontId="6" fillId="2" borderId="8" xfId="0" applyNumberFormat="1" applyFont="1" applyFill="1" applyBorder="1" applyAlignment="1">
      <alignment shrinkToFit="1"/>
    </xf>
    <xf numFmtId="2" fontId="6" fillId="2" borderId="5" xfId="0" applyNumberFormat="1" applyFont="1" applyFill="1" applyBorder="1" applyAlignment="1">
      <alignment shrinkToFit="1"/>
    </xf>
    <xf numFmtId="177" fontId="6" fillId="2" borderId="1" xfId="0" applyNumberFormat="1" applyFont="1" applyFill="1" applyBorder="1" applyAlignment="1">
      <alignment shrinkToFit="1"/>
    </xf>
    <xf numFmtId="176" fontId="6" fillId="2" borderId="5" xfId="0" applyNumberFormat="1" applyFont="1" applyFill="1" applyBorder="1" applyAlignment="1">
      <alignment shrinkToFit="1"/>
    </xf>
    <xf numFmtId="2" fontId="6" fillId="2" borderId="1" xfId="0" applyNumberFormat="1" applyFont="1" applyFill="1" applyBorder="1" applyAlignment="1">
      <alignment shrinkToFit="1"/>
    </xf>
    <xf numFmtId="176" fontId="6" fillId="2" borderId="1" xfId="0" applyNumberFormat="1" applyFont="1" applyFill="1" applyBorder="1" applyAlignment="1">
      <alignment shrinkToFit="1"/>
    </xf>
    <xf numFmtId="176" fontId="6" fillId="2" borderId="21" xfId="0" applyNumberFormat="1" applyFont="1" applyFill="1" applyBorder="1" applyAlignment="1">
      <alignment shrinkToFit="1"/>
    </xf>
    <xf numFmtId="177" fontId="6" fillId="2" borderId="3" xfId="0" applyNumberFormat="1" applyFont="1" applyFill="1" applyBorder="1" applyAlignment="1">
      <alignment shrinkToFit="1"/>
    </xf>
    <xf numFmtId="0" fontId="6" fillId="2" borderId="0" xfId="0" applyNumberFormat="1" applyFont="1" applyFill="1" applyAlignment="1">
      <alignment shrinkToFit="1"/>
    </xf>
    <xf numFmtId="0" fontId="6" fillId="2" borderId="2" xfId="0" applyNumberFormat="1" applyFont="1" applyFill="1" applyBorder="1" applyAlignment="1">
      <alignment shrinkToFit="1"/>
    </xf>
    <xf numFmtId="0" fontId="6" fillId="2" borderId="13" xfId="0" applyNumberFormat="1" applyFont="1" applyFill="1" applyBorder="1" applyAlignment="1">
      <alignment horizontal="center" shrinkToFit="1"/>
    </xf>
    <xf numFmtId="177" fontId="6" fillId="2" borderId="2" xfId="0" applyNumberFormat="1" applyFont="1" applyFill="1" applyBorder="1" applyAlignment="1">
      <alignment shrinkToFit="1"/>
    </xf>
    <xf numFmtId="176" fontId="6" fillId="2" borderId="11" xfId="0" applyNumberFormat="1" applyFont="1" applyFill="1" applyBorder="1" applyAlignment="1">
      <alignment shrinkToFit="1"/>
    </xf>
    <xf numFmtId="2" fontId="6" fillId="2" borderId="2" xfId="0" applyNumberFormat="1" applyFont="1" applyFill="1" applyBorder="1" applyAlignment="1">
      <alignment shrinkToFit="1"/>
    </xf>
    <xf numFmtId="176" fontId="6" fillId="2" borderId="2" xfId="0" applyNumberFormat="1" applyFont="1" applyFill="1" applyBorder="1" applyAlignment="1">
      <alignment shrinkToFit="1"/>
    </xf>
    <xf numFmtId="0" fontId="8" fillId="2" borderId="3" xfId="0" applyNumberFormat="1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shrinkToFit="1"/>
    </xf>
    <xf numFmtId="177" fontId="8" fillId="2" borderId="1" xfId="0" applyNumberFormat="1" applyFont="1" applyFill="1" applyBorder="1" applyAlignment="1">
      <alignment shrinkToFit="1"/>
    </xf>
    <xf numFmtId="177" fontId="8" fillId="2" borderId="20" xfId="0" applyNumberFormat="1" applyFont="1" applyFill="1" applyBorder="1" applyAlignment="1">
      <alignment shrinkToFit="1"/>
    </xf>
    <xf numFmtId="2" fontId="8" fillId="2" borderId="14" xfId="0" applyNumberFormat="1" applyFont="1" applyFill="1" applyBorder="1" applyAlignment="1">
      <alignment shrinkToFit="1"/>
    </xf>
    <xf numFmtId="2" fontId="8" fillId="2" borderId="3" xfId="0" applyNumberFormat="1" applyFont="1" applyFill="1" applyBorder="1" applyAlignment="1">
      <alignment shrinkToFit="1"/>
    </xf>
    <xf numFmtId="0" fontId="8" fillId="2" borderId="15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shrinkToFit="1"/>
    </xf>
    <xf numFmtId="176" fontId="8" fillId="2" borderId="1" xfId="0" applyNumberFormat="1" applyFont="1" applyFill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19" fillId="2" borderId="0" xfId="0" applyNumberFormat="1" applyFont="1" applyFill="1" applyAlignment="1">
      <alignment horizontal="right" vertical="top" shrinkToFit="1"/>
    </xf>
    <xf numFmtId="0" fontId="15" fillId="2" borderId="0" xfId="0" applyNumberFormat="1" applyFont="1" applyFill="1" applyAlignment="1">
      <alignment horizontal="right" vertical="top" shrinkToFit="1"/>
    </xf>
    <xf numFmtId="0" fontId="20" fillId="2" borderId="0" xfId="0" applyNumberFormat="1" applyFont="1" applyFill="1" applyAlignment="1">
      <alignment horizontal="right" shrinkToFit="1"/>
    </xf>
    <xf numFmtId="0" fontId="19" fillId="2" borderId="0" xfId="0" applyNumberFormat="1" applyFont="1" applyFill="1" applyAlignment="1">
      <alignment vertical="center" shrinkToFi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shrinkToFit="1"/>
    </xf>
    <xf numFmtId="176" fontId="6" fillId="2" borderId="23" xfId="0" applyNumberFormat="1" applyFont="1" applyFill="1" applyBorder="1" applyAlignment="1">
      <alignment shrinkToFit="1"/>
    </xf>
    <xf numFmtId="2" fontId="6" fillId="2" borderId="0" xfId="0" applyNumberFormat="1" applyFont="1" applyFill="1" applyBorder="1" applyAlignment="1">
      <alignment vertical="center" shrinkToFit="1"/>
    </xf>
    <xf numFmtId="0" fontId="6" fillId="2" borderId="2" xfId="0" applyNumberFormat="1" applyFont="1" applyFill="1" applyBorder="1" applyAlignment="1">
      <alignment horizontal="center" shrinkToFit="1"/>
    </xf>
    <xf numFmtId="2" fontId="6" fillId="2" borderId="11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horizontal="center" shrinkToFit="1"/>
    </xf>
    <xf numFmtId="176" fontId="8" fillId="2" borderId="23" xfId="0" applyNumberFormat="1" applyFont="1" applyFill="1" applyBorder="1" applyAlignment="1">
      <alignment shrinkToFit="1"/>
    </xf>
    <xf numFmtId="176" fontId="8" fillId="2" borderId="5" xfId="0" applyNumberFormat="1" applyFont="1" applyFill="1" applyBorder="1" applyAlignment="1">
      <alignment shrinkToFit="1"/>
    </xf>
    <xf numFmtId="0" fontId="7" fillId="0" borderId="26" xfId="0" applyNumberFormat="1" applyFont="1" applyFill="1" applyBorder="1" applyAlignment="1">
      <alignment horizontal="center" vertical="center" shrinkToFit="1"/>
    </xf>
    <xf numFmtId="0" fontId="16" fillId="3" borderId="8" xfId="0" applyNumberFormat="1" applyFont="1" applyFill="1" applyBorder="1" applyAlignment="1">
      <alignment horizontal="right" vertical="center" shrinkToFit="1"/>
    </xf>
    <xf numFmtId="176" fontId="18" fillId="3" borderId="8" xfId="0" applyNumberFormat="1" applyFont="1" applyFill="1" applyBorder="1" applyAlignment="1">
      <alignment vertical="center" shrinkToFit="1"/>
    </xf>
    <xf numFmtId="0" fontId="6" fillId="3" borderId="5" xfId="0" applyNumberFormat="1" applyFont="1" applyFill="1" applyBorder="1" applyAlignment="1">
      <alignment vertical="center" shrinkToFi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shrinkToFit="1"/>
    </xf>
    <xf numFmtId="176" fontId="11" fillId="3" borderId="1" xfId="0" applyNumberFormat="1" applyFont="1" applyFill="1" applyBorder="1" applyAlignment="1">
      <alignment shrinkToFit="1"/>
    </xf>
    <xf numFmtId="0" fontId="6" fillId="2" borderId="45" xfId="0" applyNumberFormat="1" applyFont="1" applyFill="1" applyBorder="1" applyAlignment="1">
      <alignment vertical="center" shrinkToFit="1"/>
    </xf>
    <xf numFmtId="2" fontId="7" fillId="0" borderId="43" xfId="0" applyNumberFormat="1" applyFont="1" applyFill="1" applyBorder="1" applyAlignment="1" applyProtection="1">
      <alignment shrinkToFit="1"/>
      <protection locked="0"/>
    </xf>
    <xf numFmtId="2" fontId="7" fillId="0" borderId="37" xfId="0" applyNumberFormat="1" applyFont="1" applyFill="1" applyBorder="1" applyAlignment="1" applyProtection="1">
      <alignment horizontal="right" shrinkToFit="1"/>
      <protection locked="0"/>
    </xf>
    <xf numFmtId="2" fontId="7" fillId="0" borderId="38" xfId="0" applyNumberFormat="1" applyFont="1" applyFill="1" applyBorder="1" applyAlignment="1" applyProtection="1">
      <alignment horizontal="right" shrinkToFit="1"/>
      <protection locked="0"/>
    </xf>
    <xf numFmtId="2" fontId="7" fillId="0" borderId="39" xfId="0" applyNumberFormat="1" applyFont="1" applyFill="1" applyBorder="1" applyAlignment="1" applyProtection="1">
      <alignment horizontal="right" shrinkToFit="1"/>
      <protection locked="0"/>
    </xf>
    <xf numFmtId="0" fontId="7" fillId="0" borderId="26" xfId="0" applyNumberFormat="1" applyFont="1" applyFill="1" applyBorder="1" applyAlignment="1" applyProtection="1">
      <alignment horizontal="center"/>
      <protection locked="0"/>
    </xf>
    <xf numFmtId="2" fontId="18" fillId="3" borderId="8" xfId="0" applyNumberFormat="1" applyFont="1" applyFill="1" applyBorder="1" applyAlignment="1">
      <alignment vertical="center" shrinkToFit="1"/>
    </xf>
    <xf numFmtId="2" fontId="8" fillId="3" borderId="1" xfId="0" applyNumberFormat="1" applyFont="1" applyFill="1" applyBorder="1" applyAlignment="1">
      <alignment shrinkToFit="1"/>
    </xf>
    <xf numFmtId="2" fontId="6" fillId="3" borderId="1" xfId="0" applyNumberFormat="1" applyFont="1" applyFill="1" applyBorder="1" applyAlignment="1">
      <alignment shrinkToFit="1"/>
    </xf>
    <xf numFmtId="0" fontId="16" fillId="3" borderId="8" xfId="0" applyNumberFormat="1" applyFont="1" applyFill="1" applyBorder="1" applyAlignment="1">
      <alignment vertical="center" shrinkToFit="1"/>
    </xf>
    <xf numFmtId="0" fontId="6" fillId="2" borderId="4" xfId="0" applyNumberFormat="1" applyFont="1" applyFill="1" applyBorder="1" applyAlignment="1">
      <alignment horizontal="right" vertical="center" shrinkToFit="1"/>
    </xf>
    <xf numFmtId="0" fontId="5" fillId="2" borderId="0" xfId="0" applyNumberFormat="1" applyFont="1" applyFill="1" applyAlignment="1" applyProtection="1">
      <alignment vertical="center" shrinkToFit="1"/>
    </xf>
    <xf numFmtId="0" fontId="6" fillId="2" borderId="0" xfId="0" applyNumberFormat="1" applyFont="1" applyFill="1" applyAlignment="1" applyProtection="1">
      <alignment vertical="center" shrinkToFit="1"/>
    </xf>
    <xf numFmtId="0" fontId="7" fillId="0" borderId="26" xfId="0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Alignment="1" applyProtection="1">
      <alignment vertical="center" shrinkToFit="1"/>
    </xf>
    <xf numFmtId="176" fontId="17" fillId="0" borderId="43" xfId="0" applyNumberFormat="1" applyFont="1" applyFill="1" applyBorder="1" applyAlignment="1" applyProtection="1">
      <alignment vertical="center" shrinkToFit="1"/>
    </xf>
    <xf numFmtId="0" fontId="16" fillId="2" borderId="44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horizontal="right" vertical="center" shrinkToFit="1"/>
    </xf>
    <xf numFmtId="2" fontId="18" fillId="3" borderId="8" xfId="0" applyNumberFormat="1" applyFont="1" applyFill="1" applyBorder="1" applyAlignment="1" applyProtection="1">
      <alignment vertical="center" shrinkToFit="1"/>
    </xf>
    <xf numFmtId="0" fontId="6" fillId="3" borderId="5" xfId="0" applyNumberFormat="1" applyFont="1" applyFill="1" applyBorder="1" applyAlignment="1" applyProtection="1">
      <alignment vertical="center" shrinkToFit="1"/>
    </xf>
    <xf numFmtId="176" fontId="18" fillId="3" borderId="8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vertical="center" shrinkToFit="1"/>
    </xf>
    <xf numFmtId="0" fontId="6" fillId="2" borderId="4" xfId="0" applyNumberFormat="1" applyFont="1" applyFill="1" applyBorder="1" applyAlignment="1" applyProtection="1">
      <alignment horizontal="right" vertical="center" shrinkToFit="1"/>
    </xf>
    <xf numFmtId="176" fontId="18" fillId="2" borderId="8" xfId="0" applyNumberFormat="1" applyFont="1" applyFill="1" applyBorder="1" applyAlignment="1" applyProtection="1">
      <alignment vertical="center" shrinkToFit="1"/>
    </xf>
    <xf numFmtId="0" fontId="16" fillId="2" borderId="5" xfId="0" applyNumberFormat="1" applyFont="1" applyFill="1" applyBorder="1" applyAlignment="1" applyProtection="1">
      <alignment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7" fillId="2" borderId="5" xfId="0" applyNumberFormat="1" applyFont="1" applyFill="1" applyBorder="1" applyAlignment="1" applyProtection="1">
      <alignment horizontal="center" vertical="center" shrinkToFit="1"/>
    </xf>
    <xf numFmtId="0" fontId="6" fillId="2" borderId="0" xfId="0" applyNumberFormat="1" applyFont="1" applyFill="1" applyAlignment="1" applyProtection="1">
      <alignment horizontal="center" vertical="center" shrinkToFit="1"/>
    </xf>
    <xf numFmtId="0" fontId="6" fillId="2" borderId="0" xfId="0" applyNumberFormat="1" applyFont="1" applyFill="1" applyBorder="1" applyAlignment="1" applyProtection="1">
      <alignment horizontal="center" shrinkToFit="1"/>
    </xf>
    <xf numFmtId="176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shrinkToFit="1"/>
    </xf>
    <xf numFmtId="176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Alignment="1" applyProtection="1">
      <alignment horizontal="left" vertical="top" shrinkToFit="1"/>
    </xf>
    <xf numFmtId="2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horizontal="left" vertical="top" shrinkToFit="1"/>
    </xf>
    <xf numFmtId="0" fontId="6" fillId="2" borderId="0" xfId="0" applyNumberFormat="1" applyFont="1" applyFill="1" applyBorder="1" applyAlignment="1" applyProtection="1">
      <alignment horizontal="right" shrinkToFit="1"/>
    </xf>
    <xf numFmtId="0" fontId="9" fillId="2" borderId="0" xfId="0" applyNumberFormat="1" applyFont="1" applyFill="1" applyBorder="1" applyAlignment="1" applyProtection="1">
      <alignment horizontal="center" shrinkToFit="1"/>
    </xf>
    <xf numFmtId="2" fontId="7" fillId="0" borderId="43" xfId="0" applyNumberFormat="1" applyFont="1" applyFill="1" applyBorder="1" applyAlignment="1" applyProtection="1">
      <alignment shrinkToFit="1"/>
    </xf>
    <xf numFmtId="0" fontId="6" fillId="2" borderId="44" xfId="0" applyNumberFormat="1" applyFont="1" applyFill="1" applyBorder="1" applyAlignment="1" applyProtection="1">
      <alignment horizontal="left" shrinkToFit="1"/>
    </xf>
    <xf numFmtId="0" fontId="6" fillId="2" borderId="45" xfId="0" applyNumberFormat="1" applyFont="1" applyFill="1" applyBorder="1" applyAlignment="1" applyProtection="1">
      <alignment vertical="center" shrinkToFi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Protection="1">
      <alignment vertical="center"/>
    </xf>
    <xf numFmtId="0" fontId="6" fillId="2" borderId="0" xfId="0" applyNumberFormat="1" applyFont="1" applyFill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horizontal="right"/>
    </xf>
    <xf numFmtId="0" fontId="7" fillId="0" borderId="26" xfId="0" applyNumberFormat="1" applyFont="1" applyFill="1" applyBorder="1" applyAlignment="1" applyProtection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shrinkToFit="1"/>
    </xf>
    <xf numFmtId="0" fontId="6" fillId="2" borderId="4" xfId="0" applyNumberFormat="1" applyFont="1" applyFill="1" applyBorder="1" applyAlignment="1" applyProtection="1">
      <alignment horizontal="center" shrinkToFit="1"/>
    </xf>
    <xf numFmtId="0" fontId="7" fillId="0" borderId="27" xfId="0" applyNumberFormat="1" applyFont="1" applyFill="1" applyBorder="1" applyAlignment="1" applyProtection="1">
      <alignment horizontal="center" shrinkToFit="1"/>
    </xf>
    <xf numFmtId="0" fontId="7" fillId="0" borderId="29" xfId="0" applyNumberFormat="1" applyFont="1" applyFill="1" applyBorder="1" applyAlignment="1" applyProtection="1">
      <alignment horizontal="center" shrinkToFit="1"/>
    </xf>
    <xf numFmtId="176" fontId="6" fillId="2" borderId="8" xfId="0" applyNumberFormat="1" applyFont="1" applyFill="1" applyBorder="1" applyAlignment="1" applyProtection="1">
      <alignment shrinkToFit="1"/>
    </xf>
    <xf numFmtId="2" fontId="7" fillId="0" borderId="37" xfId="0" applyNumberFormat="1" applyFont="1" applyFill="1" applyBorder="1" applyAlignment="1" applyProtection="1">
      <alignment horizontal="right" shrinkToFit="1"/>
    </xf>
    <xf numFmtId="2" fontId="6" fillId="2" borderId="5" xfId="0" applyNumberFormat="1" applyFont="1" applyFill="1" applyBorder="1" applyAlignment="1" applyProtection="1">
      <alignment shrinkToFit="1"/>
    </xf>
    <xf numFmtId="177" fontId="6" fillId="2" borderId="1" xfId="0" applyNumberFormat="1" applyFont="1" applyFill="1" applyBorder="1" applyAlignment="1" applyProtection="1">
      <alignment shrinkToFit="1"/>
    </xf>
    <xf numFmtId="2" fontId="7" fillId="0" borderId="27" xfId="0" applyNumberFormat="1" applyFont="1" applyFill="1" applyBorder="1" applyAlignment="1" applyProtection="1">
      <alignment shrinkToFit="1"/>
    </xf>
    <xf numFmtId="2" fontId="7" fillId="0" borderId="28" xfId="0" applyNumberFormat="1" applyFont="1" applyFill="1" applyBorder="1" applyAlignment="1" applyProtection="1">
      <alignment shrinkToFit="1"/>
    </xf>
    <xf numFmtId="176" fontId="6" fillId="2" borderId="5" xfId="0" applyNumberFormat="1" applyFont="1" applyFill="1" applyBorder="1" applyAlignment="1" applyProtection="1">
      <alignment shrinkToFit="1"/>
    </xf>
    <xf numFmtId="2" fontId="6" fillId="2" borderId="1" xfId="0" applyNumberFormat="1" applyFont="1" applyFill="1" applyBorder="1" applyAlignment="1" applyProtection="1">
      <alignment shrinkToFit="1"/>
    </xf>
    <xf numFmtId="176" fontId="6" fillId="2" borderId="1" xfId="0" applyNumberFormat="1" applyFont="1" applyFill="1" applyBorder="1" applyAlignment="1" applyProtection="1">
      <alignment shrinkToFit="1"/>
    </xf>
    <xf numFmtId="176" fontId="6" fillId="2" borderId="21" xfId="0" applyNumberFormat="1" applyFont="1" applyFill="1" applyBorder="1" applyAlignment="1" applyProtection="1">
      <alignment shrinkToFit="1"/>
    </xf>
    <xf numFmtId="177" fontId="6" fillId="2" borderId="3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Alignment="1" applyProtection="1">
      <alignment shrinkToFit="1"/>
    </xf>
    <xf numFmtId="0" fontId="7" fillId="0" borderId="30" xfId="0" applyNumberFormat="1" applyFont="1" applyFill="1" applyBorder="1" applyAlignment="1" applyProtection="1">
      <alignment horizontal="center" shrinkToFit="1"/>
    </xf>
    <xf numFmtId="0" fontId="7" fillId="0" borderId="31" xfId="0" applyNumberFormat="1" applyFont="1" applyFill="1" applyBorder="1" applyAlignment="1" applyProtection="1">
      <alignment horizontal="center" shrinkToFit="1"/>
    </xf>
    <xf numFmtId="2" fontId="7" fillId="0" borderId="38" xfId="0" applyNumberFormat="1" applyFont="1" applyFill="1" applyBorder="1" applyAlignment="1" applyProtection="1">
      <alignment horizontal="right" shrinkToFit="1"/>
    </xf>
    <xf numFmtId="2" fontId="7" fillId="0" borderId="30" xfId="0" applyNumberFormat="1" applyFont="1" applyFill="1" applyBorder="1" applyAlignment="1" applyProtection="1">
      <alignment shrinkToFit="1"/>
    </xf>
    <xf numFmtId="2" fontId="7" fillId="0" borderId="1" xfId="0" applyNumberFormat="1" applyFont="1" applyFill="1" applyBorder="1" applyAlignment="1" applyProtection="1">
      <alignment shrinkToFit="1"/>
    </xf>
    <xf numFmtId="0" fontId="7" fillId="0" borderId="40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shrinkToFit="1"/>
    </xf>
    <xf numFmtId="0" fontId="6" fillId="2" borderId="13" xfId="0" applyNumberFormat="1" applyFont="1" applyFill="1" applyBorder="1" applyAlignment="1" applyProtection="1">
      <alignment horizontal="center" shrinkToFit="1"/>
    </xf>
    <xf numFmtId="0" fontId="7" fillId="0" borderId="32" xfId="0" applyNumberFormat="1" applyFont="1" applyFill="1" applyBorder="1" applyAlignment="1" applyProtection="1">
      <alignment horizontal="center" shrinkToFit="1"/>
    </xf>
    <xf numFmtId="0" fontId="7" fillId="0" borderId="34" xfId="0" applyNumberFormat="1" applyFont="1" applyFill="1" applyBorder="1" applyAlignment="1" applyProtection="1">
      <alignment horizontal="center" shrinkToFit="1"/>
    </xf>
    <xf numFmtId="2" fontId="7" fillId="0" borderId="39" xfId="0" applyNumberFormat="1" applyFont="1" applyFill="1" applyBorder="1" applyAlignment="1" applyProtection="1">
      <alignment horizontal="right" shrinkToFit="1"/>
    </xf>
    <xf numFmtId="177" fontId="6" fillId="2" borderId="2" xfId="0" applyNumberFormat="1" applyFont="1" applyFill="1" applyBorder="1" applyAlignment="1" applyProtection="1">
      <alignment shrinkToFit="1"/>
    </xf>
    <xf numFmtId="2" fontId="7" fillId="0" borderId="32" xfId="0" applyNumberFormat="1" applyFont="1" applyFill="1" applyBorder="1" applyAlignment="1" applyProtection="1">
      <alignment shrinkToFit="1"/>
    </xf>
    <xf numFmtId="2" fontId="7" fillId="0" borderId="33" xfId="0" applyNumberFormat="1" applyFont="1" applyFill="1" applyBorder="1" applyAlignment="1" applyProtection="1">
      <alignment shrinkToFit="1"/>
    </xf>
    <xf numFmtId="0" fontId="7" fillId="0" borderId="41" xfId="0" applyNumberFormat="1" applyFont="1" applyFill="1" applyBorder="1" applyAlignment="1" applyProtection="1">
      <alignment horizontal="center" shrinkToFit="1"/>
    </xf>
    <xf numFmtId="176" fontId="6" fillId="2" borderId="11" xfId="0" applyNumberFormat="1" applyFont="1" applyFill="1" applyBorder="1" applyAlignment="1" applyProtection="1">
      <alignment shrinkToFit="1"/>
    </xf>
    <xf numFmtId="2" fontId="6" fillId="2" borderId="2" xfId="0" applyNumberFormat="1" applyFont="1" applyFill="1" applyBorder="1" applyAlignment="1" applyProtection="1">
      <alignment shrinkToFit="1"/>
    </xf>
    <xf numFmtId="176" fontId="6" fillId="2" borderId="2" xfId="0" applyNumberFormat="1" applyFont="1" applyFill="1" applyBorder="1" applyAlignment="1" applyProtection="1">
      <alignment shrinkToFit="1"/>
    </xf>
    <xf numFmtId="0" fontId="8" fillId="2" borderId="3" xfId="0" applyNumberFormat="1" applyFont="1" applyFill="1" applyBorder="1" applyAlignment="1" applyProtection="1">
      <alignment horizontal="center" shrinkToFit="1"/>
    </xf>
    <xf numFmtId="2" fontId="8" fillId="2" borderId="1" xfId="0" applyNumberFormat="1" applyFont="1" applyFill="1" applyBorder="1" applyAlignment="1" applyProtection="1">
      <alignment shrinkToFit="1"/>
    </xf>
    <xf numFmtId="177" fontId="8" fillId="2" borderId="1" xfId="0" applyNumberFormat="1" applyFont="1" applyFill="1" applyBorder="1" applyAlignment="1" applyProtection="1">
      <alignment shrinkToFit="1"/>
    </xf>
    <xf numFmtId="177" fontId="8" fillId="2" borderId="20" xfId="0" applyNumberFormat="1" applyFont="1" applyFill="1" applyBorder="1" applyAlignment="1" applyProtection="1">
      <alignment shrinkToFit="1"/>
    </xf>
    <xf numFmtId="2" fontId="8" fillId="2" borderId="14" xfId="0" applyNumberFormat="1" applyFont="1" applyFill="1" applyBorder="1" applyAlignment="1" applyProtection="1">
      <alignment shrinkToFit="1"/>
    </xf>
    <xf numFmtId="2" fontId="8" fillId="2" borderId="3" xfId="0" applyNumberFormat="1" applyFont="1" applyFill="1" applyBorder="1" applyAlignment="1" applyProtection="1">
      <alignment shrinkToFit="1"/>
    </xf>
    <xf numFmtId="0" fontId="8" fillId="2" borderId="15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shrinkToFit="1"/>
    </xf>
    <xf numFmtId="176" fontId="8" fillId="2" borderId="1" xfId="0" applyNumberFormat="1" applyFont="1" applyFill="1" applyBorder="1" applyAlignment="1" applyProtection="1">
      <alignment shrinkToFit="1"/>
    </xf>
    <xf numFmtId="176" fontId="8" fillId="2" borderId="21" xfId="0" applyNumberFormat="1" applyFont="1" applyFill="1" applyBorder="1" applyAlignment="1" applyProtection="1">
      <alignment shrinkToFit="1"/>
    </xf>
    <xf numFmtId="176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Alignment="1" applyProtection="1">
      <alignment shrinkToFit="1"/>
    </xf>
    <xf numFmtId="2" fontId="8" fillId="2" borderId="0" xfId="0" applyNumberFormat="1" applyFont="1" applyFill="1" applyBorder="1" applyAlignment="1" applyProtection="1">
      <alignment shrinkToFit="1"/>
    </xf>
    <xf numFmtId="0" fontId="19" fillId="2" borderId="0" xfId="0" applyNumberFormat="1" applyFont="1" applyFill="1" applyAlignment="1" applyProtection="1">
      <alignment horizontal="right" vertical="top" shrinkToFit="1"/>
    </xf>
    <xf numFmtId="0" fontId="15" fillId="2" borderId="0" xfId="0" applyNumberFormat="1" applyFont="1" applyFill="1" applyAlignment="1" applyProtection="1">
      <alignment horizontal="right" vertical="top" shrinkToFit="1"/>
    </xf>
    <xf numFmtId="0" fontId="20" fillId="2" borderId="0" xfId="0" applyNumberFormat="1" applyFont="1" applyFill="1" applyAlignment="1" applyProtection="1">
      <alignment horizontal="right" shrinkToFit="1"/>
    </xf>
    <xf numFmtId="0" fontId="19" fillId="2" borderId="0" xfId="0" applyNumberFormat="1" applyFont="1" applyFill="1" applyAlignment="1" applyProtection="1">
      <alignment vertical="center" shrinkToFi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shrinkToFit="1"/>
    </xf>
    <xf numFmtId="0" fontId="7" fillId="0" borderId="28" xfId="0" applyNumberFormat="1" applyFont="1" applyFill="1" applyBorder="1" applyAlignment="1" applyProtection="1">
      <alignment horizontal="center" shrinkToFit="1"/>
    </xf>
    <xf numFmtId="176" fontId="6" fillId="2" borderId="23" xfId="0" applyNumberFormat="1" applyFont="1" applyFill="1" applyBorder="1" applyAlignment="1" applyProtection="1">
      <alignment shrinkToFit="1"/>
    </xf>
    <xf numFmtId="2" fontId="6" fillId="3" borderId="1" xfId="0" applyNumberFormat="1" applyFont="1" applyFill="1" applyBorder="1" applyAlignment="1" applyProtection="1">
      <alignment shrinkToFit="1"/>
    </xf>
    <xf numFmtId="176" fontId="6" fillId="3" borderId="1" xfId="0" applyNumberFormat="1" applyFont="1" applyFill="1" applyBorder="1" applyAlignment="1" applyProtection="1">
      <alignment shrinkToFi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2" fontId="6" fillId="2" borderId="1" xfId="0" applyNumberFormat="1" applyFont="1" applyFill="1" applyBorder="1" applyAlignment="1" applyProtection="1">
      <alignment vertical="center" shrinkToFit="1"/>
    </xf>
    <xf numFmtId="2" fontId="6" fillId="2" borderId="0" xfId="0" applyNumberFormat="1" applyFont="1" applyFill="1" applyBorder="1" applyAlignment="1" applyProtection="1">
      <alignment vertical="center" shrinkToFit="1"/>
    </xf>
    <xf numFmtId="0" fontId="7" fillId="0" borderId="1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shrinkToFit="1"/>
    </xf>
    <xf numFmtId="0" fontId="7" fillId="0" borderId="33" xfId="0" applyNumberFormat="1" applyFont="1" applyFill="1" applyBorder="1" applyAlignment="1" applyProtection="1">
      <alignment horizontal="center" shrinkToFit="1"/>
    </xf>
    <xf numFmtId="2" fontId="6" fillId="2" borderId="11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horizontal="center" shrinkToFit="1"/>
    </xf>
    <xf numFmtId="176" fontId="8" fillId="2" borderId="23" xfId="0" applyNumberFormat="1" applyFont="1" applyFill="1" applyBorder="1" applyAlignment="1" applyProtection="1">
      <alignment shrinkToFit="1"/>
    </xf>
    <xf numFmtId="176" fontId="8" fillId="2" borderId="5" xfId="0" applyNumberFormat="1" applyFont="1" applyFill="1" applyBorder="1" applyAlignment="1" applyProtection="1">
      <alignment shrinkToFit="1"/>
    </xf>
    <xf numFmtId="2" fontId="8" fillId="3" borderId="1" xfId="0" applyNumberFormat="1" applyFont="1" applyFill="1" applyBorder="1" applyAlignment="1" applyProtection="1">
      <alignment shrinkToFit="1"/>
    </xf>
    <xf numFmtId="176" fontId="11" fillId="3" borderId="1" xfId="0" applyNumberFormat="1" applyFont="1" applyFill="1" applyBorder="1" applyAlignment="1" applyProtection="1">
      <alignment shrinkToFit="1"/>
    </xf>
    <xf numFmtId="0" fontId="7" fillId="2" borderId="0" xfId="0" applyNumberFormat="1" applyFont="1" applyFill="1" applyAlignment="1" applyProtection="1">
      <alignment vertical="top" shrinkToFit="1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>
      <alignment horizontal="right" vertical="center" shrinkToFit="1"/>
    </xf>
    <xf numFmtId="0" fontId="16" fillId="2" borderId="43" xfId="0" applyNumberFormat="1" applyFont="1" applyFill="1" applyBorder="1" applyAlignment="1">
      <alignment horizontal="right" vertical="center" shrinkToFit="1"/>
    </xf>
    <xf numFmtId="0" fontId="16" fillId="2" borderId="7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10" fillId="2" borderId="42" xfId="0" applyNumberFormat="1" applyFont="1" applyFill="1" applyBorder="1" applyAlignment="1">
      <alignment horizontal="right" shrinkToFit="1"/>
    </xf>
    <xf numFmtId="0" fontId="10" fillId="2" borderId="43" xfId="0" applyNumberFormat="1" applyFont="1" applyFill="1" applyBorder="1" applyAlignment="1">
      <alignment horizontal="right" shrinkToFit="1"/>
    </xf>
    <xf numFmtId="0" fontId="8" fillId="2" borderId="35" xfId="0" applyNumberFormat="1" applyFont="1" applyFill="1" applyBorder="1" applyAlignment="1">
      <alignment horizontal="center" shrinkToFit="1"/>
    </xf>
    <xf numFmtId="0" fontId="8" fillId="2" borderId="19" xfId="0" applyNumberFormat="1" applyFont="1" applyFill="1" applyBorder="1" applyAlignment="1">
      <alignment horizontal="center" shrinkToFit="1"/>
    </xf>
    <xf numFmtId="0" fontId="8" fillId="2" borderId="36" xfId="0" applyNumberFormat="1" applyFont="1" applyFill="1" applyBorder="1" applyAlignment="1">
      <alignment horizontal="center" shrinkToFit="1"/>
    </xf>
    <xf numFmtId="0" fontId="24" fillId="2" borderId="0" xfId="0" applyNumberFormat="1" applyFont="1" applyFill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6" fillId="2" borderId="8" xfId="0" applyNumberFormat="1" applyFont="1" applyFill="1" applyBorder="1" applyAlignment="1">
      <alignment horizontal="right" vertical="center" shrinkToFi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shrinkToFit="1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1" xfId="1" applyFont="1" applyFill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shrinkToFi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8" fillId="2" borderId="35" xfId="0" applyNumberFormat="1" applyFont="1" applyFill="1" applyBorder="1" applyAlignment="1" applyProtection="1">
      <alignment horizontal="center" shrinkToFit="1"/>
    </xf>
    <xf numFmtId="0" fontId="8" fillId="2" borderId="19" xfId="0" applyNumberFormat="1" applyFont="1" applyFill="1" applyBorder="1" applyAlignment="1" applyProtection="1">
      <alignment horizontal="center" shrinkToFit="1"/>
    </xf>
    <xf numFmtId="0" fontId="8" fillId="2" borderId="36" xfId="0" applyNumberFormat="1" applyFont="1" applyFill="1" applyBorder="1" applyAlignment="1" applyProtection="1">
      <alignment horizontal="center" shrinkToFit="1"/>
    </xf>
    <xf numFmtId="0" fontId="16" fillId="2" borderId="7" xfId="0" applyNumberFormat="1" applyFont="1" applyFill="1" applyBorder="1" applyAlignment="1" applyProtection="1">
      <alignment horizontal="left" shrinkToFit="1"/>
    </xf>
    <xf numFmtId="0" fontId="6" fillId="2" borderId="7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NumberFormat="1" applyFont="1" applyFill="1" applyAlignment="1" applyProtection="1">
      <alignment horizontal="center" vertical="center" shrinkToFit="1"/>
    </xf>
    <xf numFmtId="0" fontId="16" fillId="2" borderId="42" xfId="0" applyNumberFormat="1" applyFont="1" applyFill="1" applyBorder="1" applyAlignment="1" applyProtection="1">
      <alignment horizontal="right" vertical="center" shrinkToFit="1"/>
    </xf>
    <xf numFmtId="0" fontId="16" fillId="2" borderId="43" xfId="0" applyNumberFormat="1" applyFont="1" applyFill="1" applyBorder="1" applyAlignment="1" applyProtection="1">
      <alignment horizontal="right"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6" fillId="2" borderId="8" xfId="0" applyNumberFormat="1" applyFont="1" applyFill="1" applyBorder="1" applyAlignment="1" applyProtection="1">
      <alignment horizontal="right" vertical="center" shrinkToFit="1"/>
    </xf>
    <xf numFmtId="0" fontId="10" fillId="2" borderId="42" xfId="0" applyNumberFormat="1" applyFont="1" applyFill="1" applyBorder="1" applyAlignment="1" applyProtection="1">
      <alignment horizontal="right" shrinkToFit="1"/>
    </xf>
    <xf numFmtId="0" fontId="10" fillId="2" borderId="43" xfId="0" applyNumberFormat="1" applyFont="1" applyFill="1" applyBorder="1" applyAlignment="1" applyProtection="1">
      <alignment horizontal="right" shrinkToFit="1"/>
    </xf>
    <xf numFmtId="0" fontId="16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1" xr:uid="{B251B875-9DB3-4815-9090-CC35B73FE834}"/>
    <cellStyle name="標準 3" xfId="2" xr:uid="{6BE5E543-15B0-4617-BC61-8D4385146DF9}"/>
  </cellStyles>
  <dxfs count="14"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</dxfs>
  <tableStyles count="0" defaultTableStyle="TableStyleMedium2" defaultPivotStyle="PivotStyleLight16"/>
  <colors>
    <mruColors>
      <color rgb="FF9BFFFF"/>
      <color rgb="FF66FFFF"/>
      <color rgb="FFCCFFFF"/>
      <color rgb="FFFFCCFF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533080</xdr:colOff>
      <xdr:row>12</xdr:row>
      <xdr:rowOff>89647</xdr:rowOff>
    </xdr:from>
    <xdr:to>
      <xdr:col>19</xdr:col>
      <xdr:colOff>818830</xdr:colOff>
      <xdr:row>27</xdr:row>
      <xdr:rowOff>252933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81A451-B355-4716-B9AD-B9ECFBB073DE}"/>
            </a:ext>
          </a:extLst>
        </xdr:cNvPr>
        <xdr:cNvSpPr/>
      </xdr:nvSpPr>
      <xdr:spPr>
        <a:xfrm>
          <a:off x="7447109" y="4672853"/>
          <a:ext cx="8992721" cy="48697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882968</xdr:colOff>
      <xdr:row>13</xdr:row>
      <xdr:rowOff>3633</xdr:rowOff>
    </xdr:from>
    <xdr:to>
      <xdr:col>18</xdr:col>
      <xdr:colOff>205271</xdr:colOff>
      <xdr:row>13</xdr:row>
      <xdr:rowOff>220806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35EBDBF4-1711-4C6C-A62A-78F884A7AEEC}"/>
            </a:ext>
          </a:extLst>
        </xdr:cNvPr>
        <xdr:cNvSpPr/>
      </xdr:nvSpPr>
      <xdr:spPr>
        <a:xfrm>
          <a:off x="14755850" y="4900604"/>
          <a:ext cx="229980" cy="21717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769844</xdr:colOff>
      <xdr:row>17</xdr:row>
      <xdr:rowOff>209550</xdr:rowOff>
    </xdr:from>
    <xdr:to>
      <xdr:col>13</xdr:col>
      <xdr:colOff>217394</xdr:colOff>
      <xdr:row>18</xdr:row>
      <xdr:rowOff>238125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C2BD7AC-B8A0-4AD3-BD5A-DD5006FAB79B}"/>
            </a:ext>
          </a:extLst>
        </xdr:cNvPr>
        <xdr:cNvSpPr/>
      </xdr:nvSpPr>
      <xdr:spPr>
        <a:xfrm>
          <a:off x="10462932" y="6361579"/>
          <a:ext cx="332815" cy="34234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369794</xdr:colOff>
      <xdr:row>26</xdr:row>
      <xdr:rowOff>281669</xdr:rowOff>
    </xdr:from>
    <xdr:to>
      <xdr:col>11</xdr:col>
      <xdr:colOff>817469</xdr:colOff>
      <xdr:row>26</xdr:row>
      <xdr:rowOff>285751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46A9F8A7-9604-49AD-B04E-E6AB1C56F684}"/>
            </a:ext>
          </a:extLst>
        </xdr:cNvPr>
        <xdr:cNvSpPr/>
      </xdr:nvSpPr>
      <xdr:spPr>
        <a:xfrm>
          <a:off x="8079441" y="9257581"/>
          <a:ext cx="1467410" cy="4082"/>
        </a:xfrm>
        <a:custGeom>
          <a:avLst/>
          <a:gdLst>
            <a:gd name="connsiteX0" fmla="*/ 0 w 2585357"/>
            <a:gd name="connsiteY0" fmla="*/ 13607 h 13607"/>
            <a:gd name="connsiteX1" fmla="*/ 2585357 w 2585357"/>
            <a:gd name="connsiteY1" fmla="*/ 0 h 13607"/>
            <a:gd name="connsiteX0" fmla="*/ 0 w 1469170"/>
            <a:gd name="connsiteY0" fmla="*/ 4082 h 4082"/>
            <a:gd name="connsiteX1" fmla="*/ 1469170 w 1469170"/>
            <a:gd name="connsiteY1" fmla="*/ 0 h 40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69170" h="4082">
              <a:moveTo>
                <a:pt x="0" y="4082"/>
              </a:moveTo>
              <a:lnTo>
                <a:pt x="1469170" y="0"/>
              </a:lnTo>
            </a:path>
          </a:pathLst>
        </a:custGeom>
        <a:noFill/>
        <a:ln>
          <a:solidFill>
            <a:schemeClr val="tx1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741610</xdr:colOff>
      <xdr:row>19</xdr:row>
      <xdr:rowOff>122166</xdr:rowOff>
    </xdr:from>
    <xdr:to>
      <xdr:col>18</xdr:col>
      <xdr:colOff>170541</xdr:colOff>
      <xdr:row>20</xdr:row>
      <xdr:rowOff>226301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ACF0641D-4061-4357-8221-7FE9B5400173}"/>
            </a:ext>
          </a:extLst>
        </xdr:cNvPr>
        <xdr:cNvSpPr/>
      </xdr:nvSpPr>
      <xdr:spPr>
        <a:xfrm>
          <a:off x="12945516" y="6920635"/>
          <a:ext cx="1988775" cy="419650"/>
        </a:xfrm>
        <a:custGeom>
          <a:avLst/>
          <a:gdLst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36885 w 2190750"/>
            <a:gd name="connsiteY12" fmla="*/ 168520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29558 w 2190750"/>
            <a:gd name="connsiteY12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23765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0" fmla="*/ 0 w 2176096"/>
            <a:gd name="connsiteY0" fmla="*/ 1311520 h 1311520"/>
            <a:gd name="connsiteX1" fmla="*/ 1392115 w 2176096"/>
            <a:gd name="connsiteY1" fmla="*/ 1311520 h 1311520"/>
            <a:gd name="connsiteX2" fmla="*/ 1560635 w 2176096"/>
            <a:gd name="connsiteY2" fmla="*/ 1267558 h 1311520"/>
            <a:gd name="connsiteX3" fmla="*/ 1589942 w 2176096"/>
            <a:gd name="connsiteY3" fmla="*/ 1069731 h 1311520"/>
            <a:gd name="connsiteX4" fmla="*/ 1582615 w 2176096"/>
            <a:gd name="connsiteY4" fmla="*/ 285750 h 1311520"/>
            <a:gd name="connsiteX5" fmla="*/ 1589942 w 2176096"/>
            <a:gd name="connsiteY5" fmla="*/ 183173 h 1311520"/>
            <a:gd name="connsiteX6" fmla="*/ 1611923 w 2176096"/>
            <a:gd name="connsiteY6" fmla="*/ 168520 h 1311520"/>
            <a:gd name="connsiteX7" fmla="*/ 1758462 w 2176096"/>
            <a:gd name="connsiteY7" fmla="*/ 153866 h 1311520"/>
            <a:gd name="connsiteX8" fmla="*/ 2022231 w 2176096"/>
            <a:gd name="connsiteY8" fmla="*/ 146539 h 1311520"/>
            <a:gd name="connsiteX9" fmla="*/ 2176096 w 2176096"/>
            <a:gd name="connsiteY9" fmla="*/ 0 h 1311520"/>
            <a:gd name="connsiteX0" fmla="*/ 0 w 2022231"/>
            <a:gd name="connsiteY0" fmla="*/ 1164981 h 1164981"/>
            <a:gd name="connsiteX1" fmla="*/ 1392115 w 2022231"/>
            <a:gd name="connsiteY1" fmla="*/ 1164981 h 1164981"/>
            <a:gd name="connsiteX2" fmla="*/ 1560635 w 2022231"/>
            <a:gd name="connsiteY2" fmla="*/ 1121019 h 1164981"/>
            <a:gd name="connsiteX3" fmla="*/ 1589942 w 2022231"/>
            <a:gd name="connsiteY3" fmla="*/ 923192 h 1164981"/>
            <a:gd name="connsiteX4" fmla="*/ 1582615 w 2022231"/>
            <a:gd name="connsiteY4" fmla="*/ 139211 h 1164981"/>
            <a:gd name="connsiteX5" fmla="*/ 1589942 w 2022231"/>
            <a:gd name="connsiteY5" fmla="*/ 36634 h 1164981"/>
            <a:gd name="connsiteX6" fmla="*/ 1611923 w 2022231"/>
            <a:gd name="connsiteY6" fmla="*/ 21981 h 1164981"/>
            <a:gd name="connsiteX7" fmla="*/ 1758462 w 2022231"/>
            <a:gd name="connsiteY7" fmla="*/ 7327 h 1164981"/>
            <a:gd name="connsiteX8" fmla="*/ 2022231 w 2022231"/>
            <a:gd name="connsiteY8" fmla="*/ 0 h 1164981"/>
            <a:gd name="connsiteX0" fmla="*/ 0 w 2068200"/>
            <a:gd name="connsiteY0" fmla="*/ 1159247 h 1159247"/>
            <a:gd name="connsiteX1" fmla="*/ 1392115 w 2068200"/>
            <a:gd name="connsiteY1" fmla="*/ 1159247 h 1159247"/>
            <a:gd name="connsiteX2" fmla="*/ 1560635 w 2068200"/>
            <a:gd name="connsiteY2" fmla="*/ 1115285 h 1159247"/>
            <a:gd name="connsiteX3" fmla="*/ 1589942 w 2068200"/>
            <a:gd name="connsiteY3" fmla="*/ 917458 h 1159247"/>
            <a:gd name="connsiteX4" fmla="*/ 1582615 w 2068200"/>
            <a:gd name="connsiteY4" fmla="*/ 133477 h 1159247"/>
            <a:gd name="connsiteX5" fmla="*/ 1589942 w 2068200"/>
            <a:gd name="connsiteY5" fmla="*/ 30900 h 1159247"/>
            <a:gd name="connsiteX6" fmla="*/ 1611923 w 2068200"/>
            <a:gd name="connsiteY6" fmla="*/ 16247 h 1159247"/>
            <a:gd name="connsiteX7" fmla="*/ 1758462 w 2068200"/>
            <a:gd name="connsiteY7" fmla="*/ 1593 h 1159247"/>
            <a:gd name="connsiteX8" fmla="*/ 2068200 w 2068200"/>
            <a:gd name="connsiteY8" fmla="*/ 829 h 1159247"/>
            <a:gd name="connsiteX0" fmla="*/ 0 w 2068200"/>
            <a:gd name="connsiteY0" fmla="*/ 1158418 h 1158418"/>
            <a:gd name="connsiteX1" fmla="*/ 1392115 w 2068200"/>
            <a:gd name="connsiteY1" fmla="*/ 1158418 h 1158418"/>
            <a:gd name="connsiteX2" fmla="*/ 1560635 w 2068200"/>
            <a:gd name="connsiteY2" fmla="*/ 1114456 h 1158418"/>
            <a:gd name="connsiteX3" fmla="*/ 1589942 w 2068200"/>
            <a:gd name="connsiteY3" fmla="*/ 916629 h 1158418"/>
            <a:gd name="connsiteX4" fmla="*/ 1582615 w 2068200"/>
            <a:gd name="connsiteY4" fmla="*/ 132648 h 1158418"/>
            <a:gd name="connsiteX5" fmla="*/ 1589942 w 2068200"/>
            <a:gd name="connsiteY5" fmla="*/ 30071 h 1158418"/>
            <a:gd name="connsiteX6" fmla="*/ 1758462 w 2068200"/>
            <a:gd name="connsiteY6" fmla="*/ 764 h 1158418"/>
            <a:gd name="connsiteX7" fmla="*/ 2068200 w 2068200"/>
            <a:gd name="connsiteY7" fmla="*/ 0 h 1158418"/>
            <a:gd name="connsiteX0" fmla="*/ 0 w 2068200"/>
            <a:gd name="connsiteY0" fmla="*/ 1159480 h 1159480"/>
            <a:gd name="connsiteX1" fmla="*/ 1392115 w 2068200"/>
            <a:gd name="connsiteY1" fmla="*/ 1159480 h 1159480"/>
            <a:gd name="connsiteX2" fmla="*/ 1560635 w 2068200"/>
            <a:gd name="connsiteY2" fmla="*/ 1115518 h 1159480"/>
            <a:gd name="connsiteX3" fmla="*/ 1589942 w 2068200"/>
            <a:gd name="connsiteY3" fmla="*/ 917691 h 1159480"/>
            <a:gd name="connsiteX4" fmla="*/ 1582615 w 2068200"/>
            <a:gd name="connsiteY4" fmla="*/ 133710 h 1159480"/>
            <a:gd name="connsiteX5" fmla="*/ 1589942 w 2068200"/>
            <a:gd name="connsiteY5" fmla="*/ 11445 h 1159480"/>
            <a:gd name="connsiteX6" fmla="*/ 1758462 w 2068200"/>
            <a:gd name="connsiteY6" fmla="*/ 1826 h 1159480"/>
            <a:gd name="connsiteX7" fmla="*/ 2068200 w 2068200"/>
            <a:gd name="connsiteY7" fmla="*/ 1062 h 1159480"/>
            <a:gd name="connsiteX0" fmla="*/ 0 w 2068200"/>
            <a:gd name="connsiteY0" fmla="*/ 1159480 h 1159480"/>
            <a:gd name="connsiteX1" fmla="*/ 5909 w 2068200"/>
            <a:gd name="connsiteY1" fmla="*/ 1149966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68200"/>
            <a:gd name="connsiteY0" fmla="*/ 1159480 h 1159480"/>
            <a:gd name="connsiteX1" fmla="*/ 45310 w 2068200"/>
            <a:gd name="connsiteY1" fmla="*/ 933398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81334"/>
            <a:gd name="connsiteY0" fmla="*/ 929787 h 1159480"/>
            <a:gd name="connsiteX1" fmla="*/ 58444 w 2081334"/>
            <a:gd name="connsiteY1" fmla="*/ 933398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0 w 2081334"/>
            <a:gd name="connsiteY0" fmla="*/ 929787 h 1159480"/>
            <a:gd name="connsiteX1" fmla="*/ 5909 w 2081334"/>
            <a:gd name="connsiteY1" fmla="*/ 1117153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40059 w 2121393"/>
            <a:gd name="connsiteY0" fmla="*/ 929787 h 1159480"/>
            <a:gd name="connsiteX1" fmla="*/ 45968 w 2121393"/>
            <a:gd name="connsiteY1" fmla="*/ 1117153 h 1159480"/>
            <a:gd name="connsiteX2" fmla="*/ 0 w 2121393"/>
            <a:gd name="connsiteY2" fmla="*/ 1097465 h 1159480"/>
            <a:gd name="connsiteX3" fmla="*/ 1445308 w 2121393"/>
            <a:gd name="connsiteY3" fmla="*/ 1159480 h 1159480"/>
            <a:gd name="connsiteX4" fmla="*/ 1613828 w 2121393"/>
            <a:gd name="connsiteY4" fmla="*/ 1115518 h 1159480"/>
            <a:gd name="connsiteX5" fmla="*/ 1643135 w 2121393"/>
            <a:gd name="connsiteY5" fmla="*/ 917691 h 1159480"/>
            <a:gd name="connsiteX6" fmla="*/ 1635808 w 2121393"/>
            <a:gd name="connsiteY6" fmla="*/ 133710 h 1159480"/>
            <a:gd name="connsiteX7" fmla="*/ 1643135 w 2121393"/>
            <a:gd name="connsiteY7" fmla="*/ 11445 h 1159480"/>
            <a:gd name="connsiteX8" fmla="*/ 1811655 w 2121393"/>
            <a:gd name="connsiteY8" fmla="*/ 1826 h 1159480"/>
            <a:gd name="connsiteX9" fmla="*/ 2121393 w 2121393"/>
            <a:gd name="connsiteY9" fmla="*/ 1062 h 1159480"/>
            <a:gd name="connsiteX0" fmla="*/ 105729 w 2187063"/>
            <a:gd name="connsiteY0" fmla="*/ 929787 h 1159480"/>
            <a:gd name="connsiteX1" fmla="*/ 111638 w 2187063"/>
            <a:gd name="connsiteY1" fmla="*/ 1117153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105729 w 2187063"/>
            <a:gd name="connsiteY0" fmla="*/ 929787 h 1159480"/>
            <a:gd name="connsiteX1" fmla="*/ 131338 w 2187063"/>
            <a:gd name="connsiteY1" fmla="*/ 1130277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0 w 2081334"/>
            <a:gd name="connsiteY0" fmla="*/ 929787 h 1159480"/>
            <a:gd name="connsiteX1" fmla="*/ 25609 w 2081334"/>
            <a:gd name="connsiteY1" fmla="*/ 1130277 h 1159480"/>
            <a:gd name="connsiteX2" fmla="*/ 32178 w 2081334"/>
            <a:gd name="connsiteY2" fmla="*/ 1090902 h 1159480"/>
            <a:gd name="connsiteX3" fmla="*/ 1405249 w 2081334"/>
            <a:gd name="connsiteY3" fmla="*/ 1159480 h 1159480"/>
            <a:gd name="connsiteX4" fmla="*/ 1573769 w 2081334"/>
            <a:gd name="connsiteY4" fmla="*/ 1115518 h 1159480"/>
            <a:gd name="connsiteX5" fmla="*/ 1603076 w 2081334"/>
            <a:gd name="connsiteY5" fmla="*/ 917691 h 1159480"/>
            <a:gd name="connsiteX6" fmla="*/ 1595749 w 2081334"/>
            <a:gd name="connsiteY6" fmla="*/ 133710 h 1159480"/>
            <a:gd name="connsiteX7" fmla="*/ 1603076 w 2081334"/>
            <a:gd name="connsiteY7" fmla="*/ 11445 h 1159480"/>
            <a:gd name="connsiteX8" fmla="*/ 1771596 w 2081334"/>
            <a:gd name="connsiteY8" fmla="*/ 1826 h 1159480"/>
            <a:gd name="connsiteX9" fmla="*/ 2081334 w 2081334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77776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65673 w 2154230"/>
            <a:gd name="connsiteY2" fmla="*/ 1149966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4262 w 2155596"/>
            <a:gd name="connsiteY0" fmla="*/ 929787 h 1159480"/>
            <a:gd name="connsiteX1" fmla="*/ 1366 w 2155596"/>
            <a:gd name="connsiteY1" fmla="*/ 1058088 h 1159480"/>
            <a:gd name="connsiteX2" fmla="*/ 67039 w 2155596"/>
            <a:gd name="connsiteY2" fmla="*/ 1149966 h 1159480"/>
            <a:gd name="connsiteX3" fmla="*/ 1479511 w 2155596"/>
            <a:gd name="connsiteY3" fmla="*/ 1159480 h 1159480"/>
            <a:gd name="connsiteX4" fmla="*/ 1648031 w 2155596"/>
            <a:gd name="connsiteY4" fmla="*/ 1115518 h 1159480"/>
            <a:gd name="connsiteX5" fmla="*/ 1677338 w 2155596"/>
            <a:gd name="connsiteY5" fmla="*/ 917691 h 1159480"/>
            <a:gd name="connsiteX6" fmla="*/ 1670011 w 2155596"/>
            <a:gd name="connsiteY6" fmla="*/ 133710 h 1159480"/>
            <a:gd name="connsiteX7" fmla="*/ 1677338 w 2155596"/>
            <a:gd name="connsiteY7" fmla="*/ 11445 h 1159480"/>
            <a:gd name="connsiteX8" fmla="*/ 1845858 w 2155596"/>
            <a:gd name="connsiteY8" fmla="*/ 1826 h 1159480"/>
            <a:gd name="connsiteX9" fmla="*/ 2155596 w 2155596"/>
            <a:gd name="connsiteY9" fmla="*/ 1062 h 1159480"/>
            <a:gd name="connsiteX0" fmla="*/ 75510 w 2156844"/>
            <a:gd name="connsiteY0" fmla="*/ 929787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06629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64440 h 1217291"/>
            <a:gd name="connsiteX1" fmla="*/ 2614 w 2156844"/>
            <a:gd name="connsiteY1" fmla="*/ 1115899 h 1217291"/>
            <a:gd name="connsiteX2" fmla="*/ 68287 w 2156844"/>
            <a:gd name="connsiteY2" fmla="*/ 1207777 h 1217291"/>
            <a:gd name="connsiteX3" fmla="*/ 1480759 w 2156844"/>
            <a:gd name="connsiteY3" fmla="*/ 1217291 h 1217291"/>
            <a:gd name="connsiteX4" fmla="*/ 1649279 w 2156844"/>
            <a:gd name="connsiteY4" fmla="*/ 1173329 h 1217291"/>
            <a:gd name="connsiteX5" fmla="*/ 1678586 w 2156844"/>
            <a:gd name="connsiteY5" fmla="*/ 975502 h 1217291"/>
            <a:gd name="connsiteX6" fmla="*/ 1678586 w 2156844"/>
            <a:gd name="connsiteY6" fmla="*/ 69256 h 1217291"/>
            <a:gd name="connsiteX7" fmla="*/ 1847106 w 2156844"/>
            <a:gd name="connsiteY7" fmla="*/ 59637 h 1217291"/>
            <a:gd name="connsiteX8" fmla="*/ 2156844 w 2156844"/>
            <a:gd name="connsiteY8" fmla="*/ 58873 h 1217291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678586 w 2156844"/>
            <a:gd name="connsiteY6" fmla="*/ 659172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990074 w 2156844"/>
            <a:gd name="connsiteY7" fmla="*/ 738834 h 1158418"/>
            <a:gd name="connsiteX8" fmla="*/ 2156844 w 2156844"/>
            <a:gd name="connsiteY8" fmla="*/ 0 h 1158418"/>
            <a:gd name="connsiteX0" fmla="*/ 103403 w 2174715"/>
            <a:gd name="connsiteY0" fmla="*/ 244874 h 497725"/>
            <a:gd name="connsiteX1" fmla="*/ 2614 w 2174715"/>
            <a:gd name="connsiteY1" fmla="*/ 396333 h 497725"/>
            <a:gd name="connsiteX2" fmla="*/ 68287 w 2174715"/>
            <a:gd name="connsiteY2" fmla="*/ 488211 h 497725"/>
            <a:gd name="connsiteX3" fmla="*/ 1480759 w 2174715"/>
            <a:gd name="connsiteY3" fmla="*/ 497725 h 497725"/>
            <a:gd name="connsiteX4" fmla="*/ 1649279 w 2174715"/>
            <a:gd name="connsiteY4" fmla="*/ 453763 h 497725"/>
            <a:gd name="connsiteX5" fmla="*/ 1678586 w 2174715"/>
            <a:gd name="connsiteY5" fmla="*/ 255936 h 497725"/>
            <a:gd name="connsiteX6" fmla="*/ 1803683 w 2174715"/>
            <a:gd name="connsiteY6" fmla="*/ 87762 h 497725"/>
            <a:gd name="connsiteX7" fmla="*/ 1990074 w 2174715"/>
            <a:gd name="connsiteY7" fmla="*/ 78141 h 497725"/>
            <a:gd name="connsiteX8" fmla="*/ 2174715 w 2174715"/>
            <a:gd name="connsiteY8" fmla="*/ 0 h 497725"/>
            <a:gd name="connsiteX0" fmla="*/ 103403 w 1990074"/>
            <a:gd name="connsiteY0" fmla="*/ 171867 h 424718"/>
            <a:gd name="connsiteX1" fmla="*/ 2614 w 1990074"/>
            <a:gd name="connsiteY1" fmla="*/ 323326 h 424718"/>
            <a:gd name="connsiteX2" fmla="*/ 68287 w 1990074"/>
            <a:gd name="connsiteY2" fmla="*/ 415204 h 424718"/>
            <a:gd name="connsiteX3" fmla="*/ 1480759 w 1990074"/>
            <a:gd name="connsiteY3" fmla="*/ 424718 h 424718"/>
            <a:gd name="connsiteX4" fmla="*/ 1649279 w 1990074"/>
            <a:gd name="connsiteY4" fmla="*/ 380756 h 424718"/>
            <a:gd name="connsiteX5" fmla="*/ 1678586 w 1990074"/>
            <a:gd name="connsiteY5" fmla="*/ 182929 h 424718"/>
            <a:gd name="connsiteX6" fmla="*/ 1803683 w 1990074"/>
            <a:gd name="connsiteY6" fmla="*/ 14755 h 424718"/>
            <a:gd name="connsiteX7" fmla="*/ 1990074 w 1990074"/>
            <a:gd name="connsiteY7" fmla="*/ 5134 h 424718"/>
            <a:gd name="connsiteX0" fmla="*/ 103403 w 1990074"/>
            <a:gd name="connsiteY0" fmla="*/ 166733 h 419584"/>
            <a:gd name="connsiteX1" fmla="*/ 2614 w 1990074"/>
            <a:gd name="connsiteY1" fmla="*/ 318192 h 419584"/>
            <a:gd name="connsiteX2" fmla="*/ 68287 w 1990074"/>
            <a:gd name="connsiteY2" fmla="*/ 410070 h 419584"/>
            <a:gd name="connsiteX3" fmla="*/ 1480759 w 1990074"/>
            <a:gd name="connsiteY3" fmla="*/ 419584 h 419584"/>
            <a:gd name="connsiteX4" fmla="*/ 1649279 w 1990074"/>
            <a:gd name="connsiteY4" fmla="*/ 375622 h 419584"/>
            <a:gd name="connsiteX5" fmla="*/ 1678586 w 1990074"/>
            <a:gd name="connsiteY5" fmla="*/ 177795 h 419584"/>
            <a:gd name="connsiteX6" fmla="*/ 1803683 w 1990074"/>
            <a:gd name="connsiteY6" fmla="*/ 9621 h 419584"/>
            <a:gd name="connsiteX7" fmla="*/ 1990074 w 1990074"/>
            <a:gd name="connsiteY7" fmla="*/ 0 h 4195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990074" h="419584">
              <a:moveTo>
                <a:pt x="103403" y="166733"/>
              </a:moveTo>
              <a:lnTo>
                <a:pt x="2614" y="318192"/>
              </a:lnTo>
              <a:cubicBezTo>
                <a:pt x="-8036" y="367345"/>
                <a:pt x="13855" y="402602"/>
                <a:pt x="68287" y="410070"/>
              </a:cubicBezTo>
              <a:lnTo>
                <a:pt x="1480759" y="419584"/>
              </a:lnTo>
              <a:cubicBezTo>
                <a:pt x="1528668" y="412257"/>
                <a:pt x="1616308" y="415920"/>
                <a:pt x="1649279" y="375622"/>
              </a:cubicBezTo>
              <a:cubicBezTo>
                <a:pt x="1682250" y="335324"/>
                <a:pt x="1678586" y="254603"/>
                <a:pt x="1678586" y="177795"/>
              </a:cubicBezTo>
              <a:cubicBezTo>
                <a:pt x="1683470" y="-6217"/>
                <a:pt x="1744739" y="19567"/>
                <a:pt x="1803683" y="9621"/>
              </a:cubicBezTo>
              <a:cubicBezTo>
                <a:pt x="1873469" y="-2154"/>
                <a:pt x="1910365" y="5012"/>
                <a:pt x="1990074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344745</xdr:colOff>
      <xdr:row>19</xdr:row>
      <xdr:rowOff>139695</xdr:rowOff>
    </xdr:from>
    <xdr:ext cx="1092222" cy="4591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8BEC0E-A431-458F-B77F-829D1F000F38}"/>
            </a:ext>
          </a:extLst>
        </xdr:cNvPr>
        <xdr:cNvSpPr txBox="1"/>
      </xdr:nvSpPr>
      <xdr:spPr>
        <a:xfrm>
          <a:off x="10944709" y="6888838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18</xdr:col>
      <xdr:colOff>195506</xdr:colOff>
      <xdr:row>19</xdr:row>
      <xdr:rowOff>289865</xdr:rowOff>
    </xdr:from>
    <xdr:ext cx="1092222" cy="4591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455176-E689-431D-92F0-B29DF7EF3C7E}"/>
            </a:ext>
          </a:extLst>
        </xdr:cNvPr>
        <xdr:cNvSpPr txBox="1"/>
      </xdr:nvSpPr>
      <xdr:spPr>
        <a:xfrm>
          <a:off x="14976065" y="7069424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.0ℓ/min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0.07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829375</xdr:colOff>
      <xdr:row>17</xdr:row>
      <xdr:rowOff>254794</xdr:rowOff>
    </xdr:from>
    <xdr:to>
      <xdr:col>13</xdr:col>
      <xdr:colOff>175722</xdr:colOff>
      <xdr:row>18</xdr:row>
      <xdr:rowOff>195262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5A3458CB-8643-4386-9706-CF2BAE105834}"/>
            </a:ext>
          </a:extLst>
        </xdr:cNvPr>
        <xdr:cNvSpPr/>
      </xdr:nvSpPr>
      <xdr:spPr>
        <a:xfrm>
          <a:off x="10522463" y="6406823"/>
          <a:ext cx="231612" cy="254233"/>
        </a:xfrm>
        <a:custGeom>
          <a:avLst/>
          <a:gdLst>
            <a:gd name="connsiteX0" fmla="*/ 232172 w 232172"/>
            <a:gd name="connsiteY0" fmla="*/ 255984 h 255984"/>
            <a:gd name="connsiteX1" fmla="*/ 0 w 232172"/>
            <a:gd name="connsiteY1" fmla="*/ 0 h 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2172" h="255984">
              <a:moveTo>
                <a:pt x="232172" y="255984"/>
              </a:moveTo>
              <a:lnTo>
                <a:pt x="0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355459</xdr:colOff>
      <xdr:row>19</xdr:row>
      <xdr:rowOff>198210</xdr:rowOff>
    </xdr:from>
    <xdr:ext cx="49597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936037-09E8-4011-A505-2FE9D840B733}"/>
            </a:ext>
          </a:extLst>
        </xdr:cNvPr>
        <xdr:cNvSpPr txBox="1"/>
      </xdr:nvSpPr>
      <xdr:spPr>
        <a:xfrm>
          <a:off x="14214334" y="6996679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17</xdr:col>
      <xdr:colOff>680851</xdr:colOff>
      <xdr:row>18</xdr:row>
      <xdr:rowOff>144841</xdr:rowOff>
    </xdr:from>
    <xdr:ext cx="49597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F874523-F80A-470E-86A0-9AEADDC7B6EF}"/>
            </a:ext>
          </a:extLst>
        </xdr:cNvPr>
        <xdr:cNvSpPr txBox="1"/>
      </xdr:nvSpPr>
      <xdr:spPr>
        <a:xfrm>
          <a:off x="14539726" y="662779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526137</xdr:colOff>
      <xdr:row>19</xdr:row>
      <xdr:rowOff>304123</xdr:rowOff>
    </xdr:from>
    <xdr:ext cx="45961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955A910-BBC3-498B-972B-C988867BC5BE}"/>
            </a:ext>
          </a:extLst>
        </xdr:cNvPr>
        <xdr:cNvSpPr txBox="1"/>
      </xdr:nvSpPr>
      <xdr:spPr>
        <a:xfrm>
          <a:off x="13565534" y="710300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225677</xdr:colOff>
      <xdr:row>18</xdr:row>
      <xdr:rowOff>224748</xdr:rowOff>
    </xdr:from>
    <xdr:ext cx="117211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1805A0-FAE0-42C7-96C1-F470F03FAB84}"/>
            </a:ext>
          </a:extLst>
        </xdr:cNvPr>
        <xdr:cNvSpPr txBox="1"/>
      </xdr:nvSpPr>
      <xdr:spPr>
        <a:xfrm>
          <a:off x="13269324" y="6690542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17</xdr:col>
      <xdr:colOff>9962</xdr:colOff>
      <xdr:row>15</xdr:row>
      <xdr:rowOff>45439</xdr:rowOff>
    </xdr:from>
    <xdr:ext cx="275717" cy="117211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8342EE-863F-4C9B-8D64-D88DF10FE835}"/>
            </a:ext>
          </a:extLst>
        </xdr:cNvPr>
        <xdr:cNvSpPr txBox="1"/>
      </xdr:nvSpPr>
      <xdr:spPr>
        <a:xfrm rot="18404884">
          <a:off x="13434645" y="6018138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14</xdr:col>
      <xdr:colOff>577501</xdr:colOff>
      <xdr:row>13</xdr:row>
      <xdr:rowOff>255735</xdr:rowOff>
    </xdr:from>
    <xdr:ext cx="1172116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C2D329-46D8-4183-A723-C7F66C7F9214}"/>
            </a:ext>
          </a:extLst>
        </xdr:cNvPr>
        <xdr:cNvSpPr txBox="1"/>
      </xdr:nvSpPr>
      <xdr:spPr>
        <a:xfrm>
          <a:off x="11962677" y="5152706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ＨＩＶＰ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11</xdr:col>
      <xdr:colOff>294471</xdr:colOff>
      <xdr:row>24</xdr:row>
      <xdr:rowOff>289355</xdr:rowOff>
    </xdr:from>
    <xdr:ext cx="889987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E5175CE-563E-4450-A8E9-294B020AB509}"/>
            </a:ext>
          </a:extLst>
        </xdr:cNvPr>
        <xdr:cNvSpPr txBox="1"/>
      </xdr:nvSpPr>
      <xdr:spPr>
        <a:xfrm rot="19010105">
          <a:off x="9028163" y="8664028"/>
          <a:ext cx="8899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ＰＰ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10</xdr:col>
      <xdr:colOff>998204</xdr:colOff>
      <xdr:row>24</xdr:row>
      <xdr:rowOff>226599</xdr:rowOff>
    </xdr:from>
    <xdr:ext cx="495970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E152E3-EAAE-443F-84DA-BFF0CBE3C0F8}"/>
            </a:ext>
          </a:extLst>
        </xdr:cNvPr>
        <xdr:cNvSpPr txBox="1"/>
      </xdr:nvSpPr>
      <xdr:spPr>
        <a:xfrm>
          <a:off x="8707851" y="85749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11</xdr:col>
      <xdr:colOff>803222</xdr:colOff>
      <xdr:row>22</xdr:row>
      <xdr:rowOff>244528</xdr:rowOff>
    </xdr:from>
    <xdr:ext cx="495970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DD8578F-20C9-4BC6-8828-A5AEB55EA479}"/>
            </a:ext>
          </a:extLst>
        </xdr:cNvPr>
        <xdr:cNvSpPr txBox="1"/>
      </xdr:nvSpPr>
      <xdr:spPr>
        <a:xfrm>
          <a:off x="9532604" y="79653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11</xdr:col>
      <xdr:colOff>686681</xdr:colOff>
      <xdr:row>20</xdr:row>
      <xdr:rowOff>307280</xdr:rowOff>
    </xdr:from>
    <xdr:ext cx="495970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6E89D2-9F3E-4A2A-B9DF-22BBE3C32066}"/>
            </a:ext>
          </a:extLst>
        </xdr:cNvPr>
        <xdr:cNvSpPr txBox="1"/>
      </xdr:nvSpPr>
      <xdr:spPr>
        <a:xfrm>
          <a:off x="9416063" y="740060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12</xdr:col>
      <xdr:colOff>102854</xdr:colOff>
      <xdr:row>19</xdr:row>
      <xdr:rowOff>71396</xdr:rowOff>
    </xdr:from>
    <xdr:ext cx="564322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F6EB35-37D7-481D-9665-F52E2929F347}"/>
            </a:ext>
          </a:extLst>
        </xdr:cNvPr>
        <xdr:cNvSpPr txBox="1"/>
      </xdr:nvSpPr>
      <xdr:spPr>
        <a:xfrm>
          <a:off x="9795942" y="6850955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.45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13</xdr:col>
      <xdr:colOff>601595</xdr:colOff>
      <xdr:row>15</xdr:row>
      <xdr:rowOff>93810</xdr:rowOff>
    </xdr:from>
    <xdr:ext cx="564322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F0862B-E7C2-425B-A85A-83BDE54152A7}"/>
            </a:ext>
          </a:extLst>
        </xdr:cNvPr>
        <xdr:cNvSpPr txBox="1"/>
      </xdr:nvSpPr>
      <xdr:spPr>
        <a:xfrm>
          <a:off x="11179948" y="5618310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15</xdr:col>
      <xdr:colOff>314163</xdr:colOff>
      <xdr:row>14</xdr:row>
      <xdr:rowOff>236772</xdr:rowOff>
    </xdr:from>
    <xdr:ext cx="495970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889606A-7DCB-4459-9326-9F02BA243E0E}"/>
            </a:ext>
          </a:extLst>
        </xdr:cNvPr>
        <xdr:cNvSpPr txBox="1"/>
      </xdr:nvSpPr>
      <xdr:spPr>
        <a:xfrm>
          <a:off x="12535471" y="546086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398129</xdr:colOff>
      <xdr:row>20</xdr:row>
      <xdr:rowOff>109496</xdr:rowOff>
    </xdr:from>
    <xdr:ext cx="495970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FD968C1-3C7C-49CE-A876-A92E6AAF699D}"/>
            </a:ext>
          </a:extLst>
        </xdr:cNvPr>
        <xdr:cNvSpPr txBox="1"/>
      </xdr:nvSpPr>
      <xdr:spPr>
        <a:xfrm>
          <a:off x="10091217" y="720282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12</xdr:col>
      <xdr:colOff>360029</xdr:colOff>
      <xdr:row>18</xdr:row>
      <xdr:rowOff>14246</xdr:rowOff>
    </xdr:from>
    <xdr:ext cx="495970" cy="27571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324DA3-B64D-4EB9-A684-8FECC2E00E08}"/>
            </a:ext>
          </a:extLst>
        </xdr:cNvPr>
        <xdr:cNvSpPr txBox="1"/>
      </xdr:nvSpPr>
      <xdr:spPr>
        <a:xfrm>
          <a:off x="10053117" y="648004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760079</xdr:colOff>
      <xdr:row>16</xdr:row>
      <xdr:rowOff>261336</xdr:rowOff>
    </xdr:from>
    <xdr:ext cx="495970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EC41746-1D76-4D32-B4D7-AE5E69BAA5EF}"/>
            </a:ext>
          </a:extLst>
        </xdr:cNvPr>
        <xdr:cNvSpPr txBox="1"/>
      </xdr:nvSpPr>
      <xdr:spPr>
        <a:xfrm>
          <a:off x="10453167" y="609960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13</xdr:col>
      <xdr:colOff>289432</xdr:colOff>
      <xdr:row>16</xdr:row>
      <xdr:rowOff>200264</xdr:rowOff>
    </xdr:from>
    <xdr:ext cx="564322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92749FF-47FF-4D5C-90BF-2E47EDB2DB90}"/>
            </a:ext>
          </a:extLst>
        </xdr:cNvPr>
        <xdr:cNvSpPr txBox="1"/>
      </xdr:nvSpPr>
      <xdr:spPr>
        <a:xfrm>
          <a:off x="10867785" y="6038529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.15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16</xdr:col>
      <xdr:colOff>431745</xdr:colOff>
      <xdr:row>15</xdr:row>
      <xdr:rowOff>303682</xdr:rowOff>
    </xdr:from>
    <xdr:ext cx="459613" cy="27571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02EC495-E1A5-40EE-B939-4457FE868AA6}"/>
            </a:ext>
          </a:extLst>
        </xdr:cNvPr>
        <xdr:cNvSpPr txBox="1"/>
      </xdr:nvSpPr>
      <xdr:spPr>
        <a:xfrm>
          <a:off x="13475392" y="582818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10</xdr:col>
      <xdr:colOff>222883</xdr:colOff>
      <xdr:row>15</xdr:row>
      <xdr:rowOff>81076</xdr:rowOff>
    </xdr:from>
    <xdr:ext cx="1276824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430789-C67E-4593-A06F-88CDB42B4776}"/>
            </a:ext>
          </a:extLst>
        </xdr:cNvPr>
        <xdr:cNvSpPr txBox="1"/>
      </xdr:nvSpPr>
      <xdr:spPr>
        <a:xfrm>
          <a:off x="7951740" y="5578362"/>
          <a:ext cx="1276824" cy="27571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同時使用水栓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栓</a:t>
          </a:r>
        </a:p>
      </xdr:txBody>
    </xdr:sp>
    <xdr:clientData/>
  </xdr:oneCellAnchor>
  <xdr:oneCellAnchor>
    <xdr:from>
      <xdr:col>18</xdr:col>
      <xdr:colOff>381674</xdr:colOff>
      <xdr:row>18</xdr:row>
      <xdr:rowOff>272585</xdr:rowOff>
    </xdr:from>
    <xdr:ext cx="325730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5EEE3B-D7BC-4A8B-86DF-F95E8745ED43}"/>
            </a:ext>
          </a:extLst>
        </xdr:cNvPr>
        <xdr:cNvSpPr txBox="1"/>
      </xdr:nvSpPr>
      <xdr:spPr>
        <a:xfrm>
          <a:off x="15145424" y="675553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oneCellAnchor>
    <xdr:from>
      <xdr:col>15</xdr:col>
      <xdr:colOff>376228</xdr:colOff>
      <xdr:row>19</xdr:row>
      <xdr:rowOff>58427</xdr:rowOff>
    </xdr:from>
    <xdr:ext cx="325730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DBC946C-B47F-4711-B3A6-0C50D65518A6}"/>
            </a:ext>
          </a:extLst>
        </xdr:cNvPr>
        <xdr:cNvSpPr txBox="1"/>
      </xdr:nvSpPr>
      <xdr:spPr>
        <a:xfrm>
          <a:off x="12597536" y="685781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oneCellAnchor>
  <xdr:oneCellAnchor>
    <xdr:from>
      <xdr:col>12</xdr:col>
      <xdr:colOff>814229</xdr:colOff>
      <xdr:row>18</xdr:row>
      <xdr:rowOff>123668</xdr:rowOff>
    </xdr:from>
    <xdr:ext cx="711477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C07098-0F18-4500-8667-AB3D0726594D}"/>
            </a:ext>
          </a:extLst>
        </xdr:cNvPr>
        <xdr:cNvSpPr txBox="1"/>
      </xdr:nvSpPr>
      <xdr:spPr>
        <a:xfrm rot="19010105">
          <a:off x="10507317" y="6589462"/>
          <a:ext cx="7114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MU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10</xdr:col>
      <xdr:colOff>955948</xdr:colOff>
      <xdr:row>14</xdr:row>
      <xdr:rowOff>241789</xdr:rowOff>
    </xdr:from>
    <xdr:to>
      <xdr:col>17</xdr:col>
      <xdr:colOff>479698</xdr:colOff>
      <xdr:row>26</xdr:row>
      <xdr:rowOff>293077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F46B8B39-BD60-4EFB-BB7C-84DA3ADFB422}"/>
            </a:ext>
          </a:extLst>
        </xdr:cNvPr>
        <xdr:cNvSpPr/>
      </xdr:nvSpPr>
      <xdr:spPr>
        <a:xfrm>
          <a:off x="8665595" y="5452524"/>
          <a:ext cx="5686985" cy="3816465"/>
        </a:xfrm>
        <a:custGeom>
          <a:avLst/>
          <a:gdLst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33904 w 5685692"/>
            <a:gd name="connsiteY10" fmla="*/ 1751134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11923 w 5685692"/>
            <a:gd name="connsiteY11" fmla="*/ 145073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41231 w 5685692"/>
            <a:gd name="connsiteY11" fmla="*/ 1480038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447192 w 5685692"/>
            <a:gd name="connsiteY13" fmla="*/ 915865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5685692" h="3831980">
              <a:moveTo>
                <a:pt x="0" y="3831980"/>
              </a:moveTo>
              <a:lnTo>
                <a:pt x="930519" y="2952750"/>
              </a:lnTo>
              <a:lnTo>
                <a:pt x="930519" y="2410557"/>
              </a:lnTo>
              <a:lnTo>
                <a:pt x="1355481" y="1992923"/>
              </a:lnTo>
              <a:lnTo>
                <a:pt x="1194288" y="1919653"/>
              </a:lnTo>
              <a:lnTo>
                <a:pt x="1326173" y="1802423"/>
              </a:lnTo>
              <a:lnTo>
                <a:pt x="1362808" y="2168769"/>
              </a:lnTo>
              <a:lnTo>
                <a:pt x="1524000" y="2044211"/>
              </a:lnTo>
              <a:lnTo>
                <a:pt x="1355481" y="1992923"/>
              </a:lnTo>
              <a:lnTo>
                <a:pt x="1575288" y="1765788"/>
              </a:lnTo>
              <a:cubicBezTo>
                <a:pt x="1639002" y="1688054"/>
                <a:pt x="1697272" y="1632050"/>
                <a:pt x="1652118" y="1516291"/>
              </a:cubicBezTo>
              <a:cubicBezTo>
                <a:pt x="1628040" y="1459149"/>
                <a:pt x="1647510" y="1418306"/>
                <a:pt x="1677865" y="1377461"/>
              </a:cubicBezTo>
              <a:lnTo>
                <a:pt x="2190750" y="842596"/>
              </a:lnTo>
              <a:cubicBezTo>
                <a:pt x="2254458" y="810887"/>
                <a:pt x="2339937" y="811770"/>
                <a:pt x="2398202" y="828951"/>
              </a:cubicBezTo>
              <a:cubicBezTo>
                <a:pt x="2433719" y="854132"/>
                <a:pt x="2518225" y="911909"/>
                <a:pt x="2586404" y="871903"/>
              </a:cubicBezTo>
              <a:lnTo>
                <a:pt x="3392365" y="0"/>
              </a:lnTo>
              <a:lnTo>
                <a:pt x="5685692" y="21980"/>
              </a:lnTo>
              <a:lnTo>
                <a:pt x="4916365" y="981807"/>
              </a:lnTo>
              <a:lnTo>
                <a:pt x="4806461" y="981807"/>
              </a:lnTo>
              <a:lnTo>
                <a:pt x="4293577" y="1633903"/>
              </a:lnTo>
              <a:lnTo>
                <a:pt x="4484077" y="1619250"/>
              </a:lnTo>
              <a:lnTo>
                <a:pt x="4953000" y="989134"/>
              </a:lnTo>
              <a:lnTo>
                <a:pt x="4901711" y="98180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226921</xdr:colOff>
      <xdr:row>13</xdr:row>
      <xdr:rowOff>229960</xdr:rowOff>
    </xdr:from>
    <xdr:ext cx="877163" cy="39241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F449238-9AF5-4290-A742-38B2E7998A45}"/>
            </a:ext>
          </a:extLst>
        </xdr:cNvPr>
        <xdr:cNvSpPr txBox="1"/>
      </xdr:nvSpPr>
      <xdr:spPr>
        <a:xfrm>
          <a:off x="7936568" y="5126931"/>
          <a:ext cx="877163" cy="39241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施工例</a:t>
          </a:r>
        </a:p>
      </xdr:txBody>
    </xdr:sp>
    <xdr:clientData/>
  </xdr:oneCellAnchor>
  <xdr:twoCellAnchor>
    <xdr:from>
      <xdr:col>14</xdr:col>
      <xdr:colOff>561058</xdr:colOff>
      <xdr:row>18</xdr:row>
      <xdr:rowOff>69883</xdr:rowOff>
    </xdr:from>
    <xdr:to>
      <xdr:col>16</xdr:col>
      <xdr:colOff>317832</xdr:colOff>
      <xdr:row>21</xdr:row>
      <xdr:rowOff>45087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8BD0190E-806D-4316-B747-2B17D962B704}"/>
            </a:ext>
          </a:extLst>
        </xdr:cNvPr>
        <xdr:cNvSpPr/>
      </xdr:nvSpPr>
      <xdr:spPr>
        <a:xfrm>
          <a:off x="11954423" y="6554210"/>
          <a:ext cx="1412659" cy="920377"/>
        </a:xfrm>
        <a:custGeom>
          <a:avLst/>
          <a:gdLst>
            <a:gd name="connsiteX0" fmla="*/ 1596258 w 1596258"/>
            <a:gd name="connsiteY0" fmla="*/ 0 h 1583121"/>
            <a:gd name="connsiteX1" fmla="*/ 670034 w 1596258"/>
            <a:gd name="connsiteY1" fmla="*/ 13138 h 1583121"/>
            <a:gd name="connsiteX2" fmla="*/ 0 w 1596258"/>
            <a:gd name="connsiteY2" fmla="*/ 991914 h 1583121"/>
            <a:gd name="connsiteX3" fmla="*/ 1537138 w 1596258"/>
            <a:gd name="connsiteY3" fmla="*/ 998483 h 1583121"/>
            <a:gd name="connsiteX4" fmla="*/ 1287517 w 1596258"/>
            <a:gd name="connsiteY4" fmla="*/ 1386052 h 1583121"/>
            <a:gd name="connsiteX5" fmla="*/ 1090448 w 1596258"/>
            <a:gd name="connsiteY5" fmla="*/ 1504294 h 1583121"/>
            <a:gd name="connsiteX6" fmla="*/ 1366345 w 1596258"/>
            <a:gd name="connsiteY6" fmla="*/ 1583121 h 1583121"/>
            <a:gd name="connsiteX7" fmla="*/ 1280948 w 1596258"/>
            <a:gd name="connsiteY7" fmla="*/ 1372914 h 1583121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76976 w 1568358"/>
            <a:gd name="connsiteY2" fmla="*/ 11022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76161 w 1576161"/>
            <a:gd name="connsiteY0" fmla="*/ 0 h 1573847"/>
            <a:gd name="connsiteX1" fmla="*/ 749293 w 1576161"/>
            <a:gd name="connsiteY1" fmla="*/ 3864 h 1573847"/>
            <a:gd name="connsiteX2" fmla="*/ 643097 w 1576161"/>
            <a:gd name="connsiteY2" fmla="*/ 58616 h 1573847"/>
            <a:gd name="connsiteX3" fmla="*/ 7803 w 1576161"/>
            <a:gd name="connsiteY3" fmla="*/ 982640 h 1573847"/>
            <a:gd name="connsiteX4" fmla="*/ 0 w 1576161"/>
            <a:gd name="connsiteY4" fmla="*/ 986710 h 1573847"/>
            <a:gd name="connsiteX5" fmla="*/ 1544941 w 1576161"/>
            <a:gd name="connsiteY5" fmla="*/ 989209 h 1573847"/>
            <a:gd name="connsiteX6" fmla="*/ 1295320 w 1576161"/>
            <a:gd name="connsiteY6" fmla="*/ 1376778 h 1573847"/>
            <a:gd name="connsiteX7" fmla="*/ 1098251 w 1576161"/>
            <a:gd name="connsiteY7" fmla="*/ 1495020 h 1573847"/>
            <a:gd name="connsiteX8" fmla="*/ 1374148 w 1576161"/>
            <a:gd name="connsiteY8" fmla="*/ 1573847 h 1573847"/>
            <a:gd name="connsiteX9" fmla="*/ 1288751 w 1576161"/>
            <a:gd name="connsiteY9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99380 w 1568358"/>
            <a:gd name="connsiteY4" fmla="*/ 974810 h 1573847"/>
            <a:gd name="connsiteX5" fmla="*/ 1537138 w 1568358"/>
            <a:gd name="connsiteY5" fmla="*/ 989209 h 1573847"/>
            <a:gd name="connsiteX6" fmla="*/ 1287517 w 1568358"/>
            <a:gd name="connsiteY6" fmla="*/ 1376778 h 1573847"/>
            <a:gd name="connsiteX7" fmla="*/ 1090448 w 1568358"/>
            <a:gd name="connsiteY7" fmla="*/ 1495020 h 1573847"/>
            <a:gd name="connsiteX8" fmla="*/ 1366345 w 1568358"/>
            <a:gd name="connsiteY8" fmla="*/ 1573847 h 1573847"/>
            <a:gd name="connsiteX9" fmla="*/ 1280948 w 1568358"/>
            <a:gd name="connsiteY9" fmla="*/ 1363640 h 1573847"/>
            <a:gd name="connsiteX0" fmla="*/ 1502857 w 1502857"/>
            <a:gd name="connsiteY0" fmla="*/ 0 h 1573847"/>
            <a:gd name="connsiteX1" fmla="*/ 675989 w 1502857"/>
            <a:gd name="connsiteY1" fmla="*/ 3864 h 1573847"/>
            <a:gd name="connsiteX2" fmla="*/ 569793 w 1502857"/>
            <a:gd name="connsiteY2" fmla="*/ 58616 h 1573847"/>
            <a:gd name="connsiteX3" fmla="*/ 0 w 1502857"/>
            <a:gd name="connsiteY3" fmla="*/ 887451 h 1573847"/>
            <a:gd name="connsiteX4" fmla="*/ 33879 w 1502857"/>
            <a:gd name="connsiteY4" fmla="*/ 974810 h 1573847"/>
            <a:gd name="connsiteX5" fmla="*/ 1471637 w 1502857"/>
            <a:gd name="connsiteY5" fmla="*/ 989209 h 1573847"/>
            <a:gd name="connsiteX6" fmla="*/ 1222016 w 1502857"/>
            <a:gd name="connsiteY6" fmla="*/ 1376778 h 1573847"/>
            <a:gd name="connsiteX7" fmla="*/ 1024947 w 1502857"/>
            <a:gd name="connsiteY7" fmla="*/ 1495020 h 1573847"/>
            <a:gd name="connsiteX8" fmla="*/ 1300844 w 1502857"/>
            <a:gd name="connsiteY8" fmla="*/ 1573847 h 1573847"/>
            <a:gd name="connsiteX9" fmla="*/ 1215447 w 1502857"/>
            <a:gd name="connsiteY9" fmla="*/ 1363640 h 1573847"/>
            <a:gd name="connsiteX0" fmla="*/ 1506436 w 1506436"/>
            <a:gd name="connsiteY0" fmla="*/ 0 h 1573847"/>
            <a:gd name="connsiteX1" fmla="*/ 679568 w 1506436"/>
            <a:gd name="connsiteY1" fmla="*/ 3864 h 1573847"/>
            <a:gd name="connsiteX2" fmla="*/ 573372 w 1506436"/>
            <a:gd name="connsiteY2" fmla="*/ 58616 h 1573847"/>
            <a:gd name="connsiteX3" fmla="*/ 3579 w 1506436"/>
            <a:gd name="connsiteY3" fmla="*/ 887451 h 1573847"/>
            <a:gd name="connsiteX4" fmla="*/ 37458 w 1506436"/>
            <a:gd name="connsiteY4" fmla="*/ 974810 h 1573847"/>
            <a:gd name="connsiteX5" fmla="*/ 1475216 w 1506436"/>
            <a:gd name="connsiteY5" fmla="*/ 989209 h 1573847"/>
            <a:gd name="connsiteX6" fmla="*/ 1225595 w 1506436"/>
            <a:gd name="connsiteY6" fmla="*/ 1376778 h 1573847"/>
            <a:gd name="connsiteX7" fmla="*/ 1028526 w 1506436"/>
            <a:gd name="connsiteY7" fmla="*/ 1495020 h 1573847"/>
            <a:gd name="connsiteX8" fmla="*/ 1304423 w 1506436"/>
            <a:gd name="connsiteY8" fmla="*/ 1573847 h 1573847"/>
            <a:gd name="connsiteX9" fmla="*/ 1219026 w 1506436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228602 w 1509443"/>
            <a:gd name="connsiteY6" fmla="*/ 1376778 h 1573847"/>
            <a:gd name="connsiteX7" fmla="*/ 1031533 w 1509443"/>
            <a:gd name="connsiteY7" fmla="*/ 1495020 h 1573847"/>
            <a:gd name="connsiteX8" fmla="*/ 1307430 w 1509443"/>
            <a:gd name="connsiteY8" fmla="*/ 1573847 h 1573847"/>
            <a:gd name="connsiteX9" fmla="*/ 1222033 w 1509443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85389 w 1509443"/>
            <a:gd name="connsiteY6" fmla="*/ 98566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13703 w 1509443"/>
            <a:gd name="connsiteY5" fmla="*/ 985410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09907 w 1509443"/>
            <a:gd name="connsiteY5" fmla="*/ 981611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40270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227308 w 1509443"/>
            <a:gd name="connsiteY11" fmla="*/ 1365559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225094 w 1509443"/>
            <a:gd name="connsiteY8" fmla="*/ 1183507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397830"/>
            <a:gd name="connsiteX1" fmla="*/ 682575 w 1509443"/>
            <a:gd name="connsiteY1" fmla="*/ 3864 h 1397830"/>
            <a:gd name="connsiteX2" fmla="*/ 576379 w 1509443"/>
            <a:gd name="connsiteY2" fmla="*/ 58616 h 1397830"/>
            <a:gd name="connsiteX3" fmla="*/ 6586 w 1509443"/>
            <a:gd name="connsiteY3" fmla="*/ 887451 h 1397830"/>
            <a:gd name="connsiteX4" fmla="*/ 40465 w 1509443"/>
            <a:gd name="connsiteY4" fmla="*/ 974810 h 1397830"/>
            <a:gd name="connsiteX5" fmla="*/ 1394726 w 1509443"/>
            <a:gd name="connsiteY5" fmla="*/ 970214 h 1397830"/>
            <a:gd name="connsiteX6" fmla="*/ 1466413 w 1509443"/>
            <a:gd name="connsiteY6" fmla="*/ 1023654 h 1397830"/>
            <a:gd name="connsiteX7" fmla="*/ 1228602 w 1509443"/>
            <a:gd name="connsiteY7" fmla="*/ 1376778 h 1397830"/>
            <a:gd name="connsiteX8" fmla="*/ 1225094 w 1509443"/>
            <a:gd name="connsiteY8" fmla="*/ 1183507 h 1397830"/>
            <a:gd name="connsiteX9" fmla="*/ 1155618 w 1509443"/>
            <a:gd name="connsiteY9" fmla="*/ 1064788 h 1397830"/>
            <a:gd name="connsiteX10" fmla="*/ 982928 w 1509443"/>
            <a:gd name="connsiteY10" fmla="*/ 1397830 h 1397830"/>
            <a:gd name="connsiteX11" fmla="*/ 1170379 w 1509443"/>
            <a:gd name="connsiteY11" fmla="*/ 1243993 h 1397830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170379 w 1509443"/>
            <a:gd name="connsiteY11" fmla="*/ 1243993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1104 w 1509443"/>
            <a:gd name="connsiteY11" fmla="*/ 1183210 h 1376778"/>
            <a:gd name="connsiteX0" fmla="*/ 1509443 w 1509443"/>
            <a:gd name="connsiteY0" fmla="*/ 0 h 1411713"/>
            <a:gd name="connsiteX1" fmla="*/ 682575 w 1509443"/>
            <a:gd name="connsiteY1" fmla="*/ 3864 h 1411713"/>
            <a:gd name="connsiteX2" fmla="*/ 576379 w 1509443"/>
            <a:gd name="connsiteY2" fmla="*/ 58616 h 1411713"/>
            <a:gd name="connsiteX3" fmla="*/ 6586 w 1509443"/>
            <a:gd name="connsiteY3" fmla="*/ 887451 h 1411713"/>
            <a:gd name="connsiteX4" fmla="*/ 40465 w 1509443"/>
            <a:gd name="connsiteY4" fmla="*/ 974810 h 1411713"/>
            <a:gd name="connsiteX5" fmla="*/ 1394726 w 1509443"/>
            <a:gd name="connsiteY5" fmla="*/ 970214 h 1411713"/>
            <a:gd name="connsiteX6" fmla="*/ 1466413 w 1509443"/>
            <a:gd name="connsiteY6" fmla="*/ 1023654 h 1411713"/>
            <a:gd name="connsiteX7" fmla="*/ 1228602 w 1509443"/>
            <a:gd name="connsiteY7" fmla="*/ 1376778 h 1411713"/>
            <a:gd name="connsiteX8" fmla="*/ 1219718 w 1509443"/>
            <a:gd name="connsiteY8" fmla="*/ 1376956 h 1411713"/>
            <a:gd name="connsiteX9" fmla="*/ 1225094 w 1509443"/>
            <a:gd name="connsiteY9" fmla="*/ 1183507 h 1411713"/>
            <a:gd name="connsiteX10" fmla="*/ 1155618 w 1509443"/>
            <a:gd name="connsiteY10" fmla="*/ 1064788 h 1411713"/>
            <a:gd name="connsiteX11" fmla="*/ 1324506 w 1509443"/>
            <a:gd name="connsiteY11" fmla="*/ 1063523 h 1411713"/>
            <a:gd name="connsiteX12" fmla="*/ 1231104 w 1509443"/>
            <a:gd name="connsiteY12" fmla="*/ 1183210 h 1411713"/>
            <a:gd name="connsiteX0" fmla="*/ 1509443 w 1509443"/>
            <a:gd name="connsiteY0" fmla="*/ 0 h 1393816"/>
            <a:gd name="connsiteX1" fmla="*/ 682575 w 1509443"/>
            <a:gd name="connsiteY1" fmla="*/ 3864 h 1393816"/>
            <a:gd name="connsiteX2" fmla="*/ 576379 w 1509443"/>
            <a:gd name="connsiteY2" fmla="*/ 58616 h 1393816"/>
            <a:gd name="connsiteX3" fmla="*/ 6586 w 1509443"/>
            <a:gd name="connsiteY3" fmla="*/ 887451 h 1393816"/>
            <a:gd name="connsiteX4" fmla="*/ 40465 w 1509443"/>
            <a:gd name="connsiteY4" fmla="*/ 974810 h 1393816"/>
            <a:gd name="connsiteX5" fmla="*/ 1394726 w 1509443"/>
            <a:gd name="connsiteY5" fmla="*/ 970214 h 1393816"/>
            <a:gd name="connsiteX6" fmla="*/ 1466413 w 1509443"/>
            <a:gd name="connsiteY6" fmla="*/ 1023654 h 1393816"/>
            <a:gd name="connsiteX7" fmla="*/ 1228602 w 1509443"/>
            <a:gd name="connsiteY7" fmla="*/ 1376778 h 1393816"/>
            <a:gd name="connsiteX8" fmla="*/ 1231104 w 1509443"/>
            <a:gd name="connsiteY8" fmla="*/ 1293379 h 1393816"/>
            <a:gd name="connsiteX9" fmla="*/ 1225094 w 1509443"/>
            <a:gd name="connsiteY9" fmla="*/ 1183507 h 1393816"/>
            <a:gd name="connsiteX10" fmla="*/ 1155618 w 1509443"/>
            <a:gd name="connsiteY10" fmla="*/ 1064788 h 1393816"/>
            <a:gd name="connsiteX11" fmla="*/ 1324506 w 1509443"/>
            <a:gd name="connsiteY11" fmla="*/ 1063523 h 1393816"/>
            <a:gd name="connsiteX12" fmla="*/ 1231104 w 1509443"/>
            <a:gd name="connsiteY12" fmla="*/ 1183210 h 1393816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31104 w 1466456"/>
            <a:gd name="connsiteY12" fmla="*/ 1180978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1070652 w 1540031"/>
            <a:gd name="connsiteY0" fmla="*/ 1567 h 1344052"/>
            <a:gd name="connsiteX1" fmla="*/ 756150 w 1540031"/>
            <a:gd name="connsiteY1" fmla="*/ 1632 h 1344052"/>
            <a:gd name="connsiteX2" fmla="*/ 649954 w 1540031"/>
            <a:gd name="connsiteY2" fmla="*/ 56384 h 1344052"/>
            <a:gd name="connsiteX3" fmla="*/ 80161 w 1540031"/>
            <a:gd name="connsiteY3" fmla="*/ 885219 h 1344052"/>
            <a:gd name="connsiteX4" fmla="*/ 8930 w 1540031"/>
            <a:gd name="connsiteY4" fmla="*/ 834654 h 1344052"/>
            <a:gd name="connsiteX5" fmla="*/ 1468301 w 1540031"/>
            <a:gd name="connsiteY5" fmla="*/ 967982 h 1344052"/>
            <a:gd name="connsiteX6" fmla="*/ 1539988 w 1540031"/>
            <a:gd name="connsiteY6" fmla="*/ 1021422 h 1344052"/>
            <a:gd name="connsiteX7" fmla="*/ 1347721 w 1540031"/>
            <a:gd name="connsiteY7" fmla="*/ 1317561 h 1344052"/>
            <a:gd name="connsiteX8" fmla="*/ 1304679 w 1540031"/>
            <a:gd name="connsiteY8" fmla="*/ 1291147 h 1344052"/>
            <a:gd name="connsiteX9" fmla="*/ 1311672 w 1540031"/>
            <a:gd name="connsiteY9" fmla="*/ 796866 h 1344052"/>
            <a:gd name="connsiteX10" fmla="*/ 1207521 w 1540031"/>
            <a:gd name="connsiteY10" fmla="*/ 656552 h 1344052"/>
            <a:gd name="connsiteX11" fmla="*/ 1415417 w 1540031"/>
            <a:gd name="connsiteY11" fmla="*/ 655287 h 1344052"/>
            <a:gd name="connsiteX12" fmla="*/ 1313347 w 1540031"/>
            <a:gd name="connsiteY12" fmla="*/ 796570 h 1344052"/>
            <a:gd name="connsiteX0" fmla="*/ 1070652 w 1539988"/>
            <a:gd name="connsiteY0" fmla="*/ 1567 h 1344052"/>
            <a:gd name="connsiteX1" fmla="*/ 756150 w 1539988"/>
            <a:gd name="connsiteY1" fmla="*/ 1632 h 1344052"/>
            <a:gd name="connsiteX2" fmla="*/ 649954 w 1539988"/>
            <a:gd name="connsiteY2" fmla="*/ 56384 h 1344052"/>
            <a:gd name="connsiteX3" fmla="*/ 80161 w 1539988"/>
            <a:gd name="connsiteY3" fmla="*/ 885219 h 1344052"/>
            <a:gd name="connsiteX4" fmla="*/ 8930 w 1539988"/>
            <a:gd name="connsiteY4" fmla="*/ 834654 h 1344052"/>
            <a:gd name="connsiteX5" fmla="*/ 1539988 w 1539988"/>
            <a:gd name="connsiteY5" fmla="*/ 1021422 h 1344052"/>
            <a:gd name="connsiteX6" fmla="*/ 1347721 w 1539988"/>
            <a:gd name="connsiteY6" fmla="*/ 1317561 h 1344052"/>
            <a:gd name="connsiteX7" fmla="*/ 1304679 w 1539988"/>
            <a:gd name="connsiteY7" fmla="*/ 1291147 h 1344052"/>
            <a:gd name="connsiteX8" fmla="*/ 1311672 w 1539988"/>
            <a:gd name="connsiteY8" fmla="*/ 796866 h 1344052"/>
            <a:gd name="connsiteX9" fmla="*/ 1207521 w 1539988"/>
            <a:gd name="connsiteY9" fmla="*/ 656552 h 1344052"/>
            <a:gd name="connsiteX10" fmla="*/ 1415417 w 1539988"/>
            <a:gd name="connsiteY10" fmla="*/ 655287 h 1344052"/>
            <a:gd name="connsiteX11" fmla="*/ 1313347 w 1539988"/>
            <a:gd name="connsiteY11" fmla="*/ 796570 h 1344052"/>
            <a:gd name="connsiteX0" fmla="*/ 1070652 w 1415417"/>
            <a:gd name="connsiteY0" fmla="*/ 1567 h 1344052"/>
            <a:gd name="connsiteX1" fmla="*/ 756150 w 1415417"/>
            <a:gd name="connsiteY1" fmla="*/ 1632 h 1344052"/>
            <a:gd name="connsiteX2" fmla="*/ 649954 w 1415417"/>
            <a:gd name="connsiteY2" fmla="*/ 56384 h 1344052"/>
            <a:gd name="connsiteX3" fmla="*/ 80161 w 1415417"/>
            <a:gd name="connsiteY3" fmla="*/ 885219 h 1344052"/>
            <a:gd name="connsiteX4" fmla="*/ 8930 w 1415417"/>
            <a:gd name="connsiteY4" fmla="*/ 834654 h 1344052"/>
            <a:gd name="connsiteX5" fmla="*/ 1347721 w 1415417"/>
            <a:gd name="connsiteY5" fmla="*/ 1317561 h 1344052"/>
            <a:gd name="connsiteX6" fmla="*/ 1304679 w 1415417"/>
            <a:gd name="connsiteY6" fmla="*/ 1291147 h 1344052"/>
            <a:gd name="connsiteX7" fmla="*/ 1311672 w 1415417"/>
            <a:gd name="connsiteY7" fmla="*/ 796866 h 1344052"/>
            <a:gd name="connsiteX8" fmla="*/ 1207521 w 1415417"/>
            <a:gd name="connsiteY8" fmla="*/ 656552 h 1344052"/>
            <a:gd name="connsiteX9" fmla="*/ 1415417 w 1415417"/>
            <a:gd name="connsiteY9" fmla="*/ 655287 h 1344052"/>
            <a:gd name="connsiteX10" fmla="*/ 1313347 w 1415417"/>
            <a:gd name="connsiteY10" fmla="*/ 796570 h 1344052"/>
            <a:gd name="connsiteX0" fmla="*/ 1070652 w 1415417"/>
            <a:gd name="connsiteY0" fmla="*/ 1567 h 1291147"/>
            <a:gd name="connsiteX1" fmla="*/ 756150 w 1415417"/>
            <a:gd name="connsiteY1" fmla="*/ 1632 h 1291147"/>
            <a:gd name="connsiteX2" fmla="*/ 649954 w 1415417"/>
            <a:gd name="connsiteY2" fmla="*/ 56384 h 1291147"/>
            <a:gd name="connsiteX3" fmla="*/ 80161 w 1415417"/>
            <a:gd name="connsiteY3" fmla="*/ 885219 h 1291147"/>
            <a:gd name="connsiteX4" fmla="*/ 8930 w 1415417"/>
            <a:gd name="connsiteY4" fmla="*/ 834654 h 1291147"/>
            <a:gd name="connsiteX5" fmla="*/ 1304679 w 1415417"/>
            <a:gd name="connsiteY5" fmla="*/ 1291147 h 1291147"/>
            <a:gd name="connsiteX6" fmla="*/ 1311672 w 1415417"/>
            <a:gd name="connsiteY6" fmla="*/ 796866 h 1291147"/>
            <a:gd name="connsiteX7" fmla="*/ 1207521 w 1415417"/>
            <a:gd name="connsiteY7" fmla="*/ 656552 h 1291147"/>
            <a:gd name="connsiteX8" fmla="*/ 1415417 w 1415417"/>
            <a:gd name="connsiteY8" fmla="*/ 655287 h 1291147"/>
            <a:gd name="connsiteX9" fmla="*/ 1313347 w 1415417"/>
            <a:gd name="connsiteY9" fmla="*/ 796570 h 1291147"/>
            <a:gd name="connsiteX0" fmla="*/ 990491 w 1335256"/>
            <a:gd name="connsiteY0" fmla="*/ 1567 h 1291863"/>
            <a:gd name="connsiteX1" fmla="*/ 675989 w 1335256"/>
            <a:gd name="connsiteY1" fmla="*/ 1632 h 1291863"/>
            <a:gd name="connsiteX2" fmla="*/ 569793 w 1335256"/>
            <a:gd name="connsiteY2" fmla="*/ 56384 h 1291863"/>
            <a:gd name="connsiteX3" fmla="*/ 0 w 1335256"/>
            <a:gd name="connsiteY3" fmla="*/ 885219 h 1291863"/>
            <a:gd name="connsiteX4" fmla="*/ 1224518 w 1335256"/>
            <a:gd name="connsiteY4" fmla="*/ 1291147 h 1291863"/>
            <a:gd name="connsiteX5" fmla="*/ 1231511 w 1335256"/>
            <a:gd name="connsiteY5" fmla="*/ 796866 h 1291863"/>
            <a:gd name="connsiteX6" fmla="*/ 1127360 w 1335256"/>
            <a:gd name="connsiteY6" fmla="*/ 656552 h 1291863"/>
            <a:gd name="connsiteX7" fmla="*/ 1335256 w 1335256"/>
            <a:gd name="connsiteY7" fmla="*/ 655287 h 1291863"/>
            <a:gd name="connsiteX8" fmla="*/ 1233186 w 1335256"/>
            <a:gd name="connsiteY8" fmla="*/ 796570 h 129186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1352778 w 1454848"/>
            <a:gd name="connsiteY8" fmla="*/ 796570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56928 w 1454848"/>
            <a:gd name="connsiteY5" fmla="*/ 356822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50737 w 1495502"/>
            <a:gd name="connsiteY0" fmla="*/ 1567 h 959713"/>
            <a:gd name="connsiteX1" fmla="*/ 836235 w 1495502"/>
            <a:gd name="connsiteY1" fmla="*/ 1632 h 959713"/>
            <a:gd name="connsiteX2" fmla="*/ 730039 w 1495502"/>
            <a:gd name="connsiteY2" fmla="*/ 56384 h 959713"/>
            <a:gd name="connsiteX3" fmla="*/ 160246 w 1495502"/>
            <a:gd name="connsiteY3" fmla="*/ 885219 h 959713"/>
            <a:gd name="connsiteX4" fmla="*/ 103728 w 1495502"/>
            <a:gd name="connsiteY4" fmla="*/ 791993 h 959713"/>
            <a:gd name="connsiteX5" fmla="*/ 97582 w 1495502"/>
            <a:gd name="connsiteY5" fmla="*/ 356822 h 959713"/>
            <a:gd name="connsiteX6" fmla="*/ 0 w 1495502"/>
            <a:gd name="connsiteY6" fmla="*/ 170533 h 959713"/>
            <a:gd name="connsiteX7" fmla="*/ 1495502 w 1495502"/>
            <a:gd name="connsiteY7" fmla="*/ 655287 h 959713"/>
            <a:gd name="connsiteX8" fmla="*/ 132103 w 1495502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32103 w 1150737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05826 w 1150737"/>
            <a:gd name="connsiteY8" fmla="*/ 356526 h 959713"/>
            <a:gd name="connsiteX0" fmla="*/ 1170445 w 1170445"/>
            <a:gd name="connsiteY0" fmla="*/ 1567 h 959713"/>
            <a:gd name="connsiteX1" fmla="*/ 855943 w 1170445"/>
            <a:gd name="connsiteY1" fmla="*/ 1632 h 959713"/>
            <a:gd name="connsiteX2" fmla="*/ 749747 w 1170445"/>
            <a:gd name="connsiteY2" fmla="*/ 56384 h 959713"/>
            <a:gd name="connsiteX3" fmla="*/ 179954 w 1170445"/>
            <a:gd name="connsiteY3" fmla="*/ 885219 h 959713"/>
            <a:gd name="connsiteX4" fmla="*/ 123436 w 1170445"/>
            <a:gd name="connsiteY4" fmla="*/ 791993 h 959713"/>
            <a:gd name="connsiteX5" fmla="*/ 117290 w 1170445"/>
            <a:gd name="connsiteY5" fmla="*/ 356822 h 959713"/>
            <a:gd name="connsiteX6" fmla="*/ 0 w 1170445"/>
            <a:gd name="connsiteY6" fmla="*/ 163965 h 959713"/>
            <a:gd name="connsiteX7" fmla="*/ 273590 w 1170445"/>
            <a:gd name="connsiteY7" fmla="*/ 169268 h 959713"/>
            <a:gd name="connsiteX8" fmla="*/ 125534 w 1170445"/>
            <a:gd name="connsiteY8" fmla="*/ 356526 h 959713"/>
            <a:gd name="connsiteX0" fmla="*/ 1170445 w 1170445"/>
            <a:gd name="connsiteY0" fmla="*/ 1567 h 967373"/>
            <a:gd name="connsiteX1" fmla="*/ 855943 w 1170445"/>
            <a:gd name="connsiteY1" fmla="*/ 1632 h 967373"/>
            <a:gd name="connsiteX2" fmla="*/ 749747 w 1170445"/>
            <a:gd name="connsiteY2" fmla="*/ 56384 h 967373"/>
            <a:gd name="connsiteX3" fmla="*/ 179954 w 1170445"/>
            <a:gd name="connsiteY3" fmla="*/ 885219 h 967373"/>
            <a:gd name="connsiteX4" fmla="*/ 123436 w 1170445"/>
            <a:gd name="connsiteY4" fmla="*/ 791993 h 967373"/>
            <a:gd name="connsiteX5" fmla="*/ 117290 w 1170445"/>
            <a:gd name="connsiteY5" fmla="*/ 356822 h 967373"/>
            <a:gd name="connsiteX6" fmla="*/ 0 w 1170445"/>
            <a:gd name="connsiteY6" fmla="*/ 163965 h 967373"/>
            <a:gd name="connsiteX7" fmla="*/ 273590 w 1170445"/>
            <a:gd name="connsiteY7" fmla="*/ 169268 h 967373"/>
            <a:gd name="connsiteX8" fmla="*/ 125534 w 1170445"/>
            <a:gd name="connsiteY8" fmla="*/ 356526 h 967373"/>
            <a:gd name="connsiteX0" fmla="*/ 1170445 w 1170445"/>
            <a:gd name="connsiteY0" fmla="*/ 1567 h 885316"/>
            <a:gd name="connsiteX1" fmla="*/ 855943 w 1170445"/>
            <a:gd name="connsiteY1" fmla="*/ 1632 h 885316"/>
            <a:gd name="connsiteX2" fmla="*/ 749747 w 1170445"/>
            <a:gd name="connsiteY2" fmla="*/ 56384 h 885316"/>
            <a:gd name="connsiteX3" fmla="*/ 179954 w 1170445"/>
            <a:gd name="connsiteY3" fmla="*/ 885219 h 885316"/>
            <a:gd name="connsiteX4" fmla="*/ 123436 w 1170445"/>
            <a:gd name="connsiteY4" fmla="*/ 791993 h 885316"/>
            <a:gd name="connsiteX5" fmla="*/ 117290 w 1170445"/>
            <a:gd name="connsiteY5" fmla="*/ 356822 h 885316"/>
            <a:gd name="connsiteX6" fmla="*/ 0 w 1170445"/>
            <a:gd name="connsiteY6" fmla="*/ 163965 h 885316"/>
            <a:gd name="connsiteX7" fmla="*/ 273590 w 1170445"/>
            <a:gd name="connsiteY7" fmla="*/ 169268 h 885316"/>
            <a:gd name="connsiteX8" fmla="*/ 125534 w 1170445"/>
            <a:gd name="connsiteY8" fmla="*/ 356526 h 885316"/>
            <a:gd name="connsiteX0" fmla="*/ 1170445 w 1170445"/>
            <a:gd name="connsiteY0" fmla="*/ 1567 h 907889"/>
            <a:gd name="connsiteX1" fmla="*/ 855943 w 1170445"/>
            <a:gd name="connsiteY1" fmla="*/ 1632 h 907889"/>
            <a:gd name="connsiteX2" fmla="*/ 749747 w 1170445"/>
            <a:gd name="connsiteY2" fmla="*/ 56384 h 907889"/>
            <a:gd name="connsiteX3" fmla="*/ 179954 w 1170445"/>
            <a:gd name="connsiteY3" fmla="*/ 885219 h 907889"/>
            <a:gd name="connsiteX4" fmla="*/ 123436 w 1170445"/>
            <a:gd name="connsiteY4" fmla="*/ 791993 h 907889"/>
            <a:gd name="connsiteX5" fmla="*/ 117290 w 1170445"/>
            <a:gd name="connsiteY5" fmla="*/ 356822 h 907889"/>
            <a:gd name="connsiteX6" fmla="*/ 0 w 1170445"/>
            <a:gd name="connsiteY6" fmla="*/ 163965 h 907889"/>
            <a:gd name="connsiteX7" fmla="*/ 273590 w 1170445"/>
            <a:gd name="connsiteY7" fmla="*/ 169268 h 907889"/>
            <a:gd name="connsiteX8" fmla="*/ 125534 w 1170445"/>
            <a:gd name="connsiteY8" fmla="*/ 356526 h 907889"/>
            <a:gd name="connsiteX0" fmla="*/ 1412146 w 1412146"/>
            <a:gd name="connsiteY0" fmla="*/ 0 h 920986"/>
            <a:gd name="connsiteX1" fmla="*/ 855943 w 1412146"/>
            <a:gd name="connsiteY1" fmla="*/ 14729 h 920986"/>
            <a:gd name="connsiteX2" fmla="*/ 749747 w 1412146"/>
            <a:gd name="connsiteY2" fmla="*/ 69481 h 920986"/>
            <a:gd name="connsiteX3" fmla="*/ 179954 w 1412146"/>
            <a:gd name="connsiteY3" fmla="*/ 898316 h 920986"/>
            <a:gd name="connsiteX4" fmla="*/ 123436 w 1412146"/>
            <a:gd name="connsiteY4" fmla="*/ 805090 h 920986"/>
            <a:gd name="connsiteX5" fmla="*/ 117290 w 1412146"/>
            <a:gd name="connsiteY5" fmla="*/ 369919 h 920986"/>
            <a:gd name="connsiteX6" fmla="*/ 0 w 1412146"/>
            <a:gd name="connsiteY6" fmla="*/ 177062 h 920986"/>
            <a:gd name="connsiteX7" fmla="*/ 273590 w 1412146"/>
            <a:gd name="connsiteY7" fmla="*/ 182365 h 920986"/>
            <a:gd name="connsiteX8" fmla="*/ 125534 w 1412146"/>
            <a:gd name="connsiteY8" fmla="*/ 369623 h 920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12146" h="920986">
              <a:moveTo>
                <a:pt x="1412146" y="0"/>
              </a:moveTo>
              <a:cubicBezTo>
                <a:pt x="1307312" y="22"/>
                <a:pt x="960777" y="14707"/>
                <a:pt x="855943" y="14729"/>
              </a:cubicBezTo>
              <a:cubicBezTo>
                <a:pt x="808634" y="9182"/>
                <a:pt x="779191" y="15534"/>
                <a:pt x="749747" y="69481"/>
              </a:cubicBezTo>
              <a:lnTo>
                <a:pt x="179954" y="898316"/>
              </a:lnTo>
              <a:cubicBezTo>
                <a:pt x="144547" y="966186"/>
                <a:pt x="128406" y="865789"/>
                <a:pt x="123436" y="805090"/>
              </a:cubicBezTo>
              <a:cubicBezTo>
                <a:pt x="122851" y="772878"/>
                <a:pt x="127973" y="421947"/>
                <a:pt x="117290" y="369919"/>
              </a:cubicBezTo>
              <a:lnTo>
                <a:pt x="0" y="177062"/>
              </a:lnTo>
              <a:cubicBezTo>
                <a:pt x="56296" y="176640"/>
                <a:pt x="201035" y="179507"/>
                <a:pt x="273590" y="182365"/>
              </a:cubicBezTo>
              <a:cubicBezTo>
                <a:pt x="233669" y="231227"/>
                <a:pt x="124435" y="369223"/>
                <a:pt x="125534" y="369623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792336</xdr:colOff>
      <xdr:row>13</xdr:row>
      <xdr:rowOff>140749</xdr:rowOff>
    </xdr:from>
    <xdr:ext cx="415498" cy="39241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306380D-3CA4-4270-85FE-2ECDAD4A670E}"/>
            </a:ext>
          </a:extLst>
        </xdr:cNvPr>
        <xdr:cNvSpPr txBox="1"/>
      </xdr:nvSpPr>
      <xdr:spPr>
        <a:xfrm>
          <a:off x="14665218" y="5037720"/>
          <a:ext cx="41549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16</xdr:col>
      <xdr:colOff>166155</xdr:colOff>
      <xdr:row>17</xdr:row>
      <xdr:rowOff>188843</xdr:rowOff>
    </xdr:from>
    <xdr:to>
      <xdr:col>17</xdr:col>
      <xdr:colOff>591899</xdr:colOff>
      <xdr:row>19</xdr:row>
      <xdr:rowOff>210207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B3E1C383-6129-4AED-941A-64D132B88569}"/>
            </a:ext>
          </a:extLst>
        </xdr:cNvPr>
        <xdr:cNvSpPr/>
      </xdr:nvSpPr>
      <xdr:spPr>
        <a:xfrm>
          <a:off x="13210392" y="6365054"/>
          <a:ext cx="1252915" cy="653021"/>
        </a:xfrm>
        <a:custGeom>
          <a:avLst/>
          <a:gdLst>
            <a:gd name="connsiteX0" fmla="*/ 0 w 1714500"/>
            <a:gd name="connsiteY0" fmla="*/ 1215259 h 1215259"/>
            <a:gd name="connsiteX1" fmla="*/ 1169276 w 1714500"/>
            <a:gd name="connsiteY1" fmla="*/ 1188983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15259"/>
            <a:gd name="connsiteX1" fmla="*/ 1188983 w 1714500"/>
            <a:gd name="connsiteY1" fmla="*/ 1215259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93599"/>
            <a:gd name="connsiteX1" fmla="*/ 1188983 w 1714500"/>
            <a:gd name="connsiteY1" fmla="*/ 1215259 h 1293599"/>
            <a:gd name="connsiteX2" fmla="*/ 1182414 w 1714500"/>
            <a:gd name="connsiteY2" fmla="*/ 1215259 h 1293599"/>
            <a:gd name="connsiteX3" fmla="*/ 1182414 w 1714500"/>
            <a:gd name="connsiteY3" fmla="*/ 157655 h 1293599"/>
            <a:gd name="connsiteX4" fmla="*/ 1563414 w 1714500"/>
            <a:gd name="connsiteY4" fmla="*/ 144517 h 1293599"/>
            <a:gd name="connsiteX5" fmla="*/ 1714500 w 1714500"/>
            <a:gd name="connsiteY5" fmla="*/ 0 h 1293599"/>
            <a:gd name="connsiteX6" fmla="*/ 1714500 w 1714500"/>
            <a:gd name="connsiteY6" fmla="*/ 249621 h 1293599"/>
            <a:gd name="connsiteX7" fmla="*/ 1569983 w 1714500"/>
            <a:gd name="connsiteY7" fmla="*/ 157655 h 1293599"/>
            <a:gd name="connsiteX0" fmla="*/ 0 w 1714500"/>
            <a:gd name="connsiteY0" fmla="*/ 1215259 h 1288770"/>
            <a:gd name="connsiteX1" fmla="*/ 1188983 w 1714500"/>
            <a:gd name="connsiteY1" fmla="*/ 1215259 h 1288770"/>
            <a:gd name="connsiteX2" fmla="*/ 1057603 w 1714500"/>
            <a:gd name="connsiteY2" fmla="*/ 1208690 h 1288770"/>
            <a:gd name="connsiteX3" fmla="*/ 1182414 w 1714500"/>
            <a:gd name="connsiteY3" fmla="*/ 157655 h 1288770"/>
            <a:gd name="connsiteX4" fmla="*/ 1563414 w 1714500"/>
            <a:gd name="connsiteY4" fmla="*/ 144517 h 1288770"/>
            <a:gd name="connsiteX5" fmla="*/ 1714500 w 1714500"/>
            <a:gd name="connsiteY5" fmla="*/ 0 h 1288770"/>
            <a:gd name="connsiteX6" fmla="*/ 1714500 w 1714500"/>
            <a:gd name="connsiteY6" fmla="*/ 249621 h 1288770"/>
            <a:gd name="connsiteX7" fmla="*/ 1569983 w 1714500"/>
            <a:gd name="connsiteY7" fmla="*/ 157655 h 1288770"/>
            <a:gd name="connsiteX0" fmla="*/ 0 w 1714500"/>
            <a:gd name="connsiteY0" fmla="*/ 1215259 h 1238676"/>
            <a:gd name="connsiteX1" fmla="*/ 1188983 w 1714500"/>
            <a:gd name="connsiteY1" fmla="*/ 1215259 h 1238676"/>
            <a:gd name="connsiteX2" fmla="*/ 1156138 w 1714500"/>
            <a:gd name="connsiteY2" fmla="*/ 1129862 h 1238676"/>
            <a:gd name="connsiteX3" fmla="*/ 1182414 w 1714500"/>
            <a:gd name="connsiteY3" fmla="*/ 157655 h 1238676"/>
            <a:gd name="connsiteX4" fmla="*/ 1563414 w 1714500"/>
            <a:gd name="connsiteY4" fmla="*/ 144517 h 1238676"/>
            <a:gd name="connsiteX5" fmla="*/ 1714500 w 1714500"/>
            <a:gd name="connsiteY5" fmla="*/ 0 h 1238676"/>
            <a:gd name="connsiteX6" fmla="*/ 1714500 w 1714500"/>
            <a:gd name="connsiteY6" fmla="*/ 249621 h 1238676"/>
            <a:gd name="connsiteX7" fmla="*/ 1569983 w 1714500"/>
            <a:gd name="connsiteY7" fmla="*/ 157655 h 12386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563414 w 1714500"/>
            <a:gd name="connsiteY4" fmla="*/ 144517 h 1221828"/>
            <a:gd name="connsiteX5" fmla="*/ 1714500 w 1714500"/>
            <a:gd name="connsiteY5" fmla="*/ 0 h 1221828"/>
            <a:gd name="connsiteX6" fmla="*/ 1714500 w 1714500"/>
            <a:gd name="connsiteY6" fmla="*/ 249621 h 1221828"/>
            <a:gd name="connsiteX7" fmla="*/ 1569983 w 1714500"/>
            <a:gd name="connsiteY7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62707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10155 w 1714500"/>
            <a:gd name="connsiteY4" fmla="*/ 262759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262686 w 1714500"/>
            <a:gd name="connsiteY5" fmla="*/ 559904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965638 h 972207"/>
            <a:gd name="connsiteX1" fmla="*/ 1005052 w 1714500"/>
            <a:gd name="connsiteY1" fmla="*/ 972207 h 972207"/>
            <a:gd name="connsiteX2" fmla="*/ 1156138 w 1714500"/>
            <a:gd name="connsiteY2" fmla="*/ 880241 h 972207"/>
            <a:gd name="connsiteX3" fmla="*/ 1157695 w 1714500"/>
            <a:gd name="connsiteY3" fmla="*/ 538627 h 972207"/>
            <a:gd name="connsiteX4" fmla="*/ 1066110 w 1714500"/>
            <a:gd name="connsiteY4" fmla="*/ 316851 h 972207"/>
            <a:gd name="connsiteX5" fmla="*/ 1262686 w 1714500"/>
            <a:gd name="connsiteY5" fmla="*/ 310283 h 972207"/>
            <a:gd name="connsiteX6" fmla="*/ 1148127 w 1714500"/>
            <a:gd name="connsiteY6" fmla="*/ 541116 h 972207"/>
            <a:gd name="connsiteX7" fmla="*/ 1714500 w 1714500"/>
            <a:gd name="connsiteY7" fmla="*/ 0 h 972207"/>
            <a:gd name="connsiteX8" fmla="*/ 1535261 w 1714500"/>
            <a:gd name="connsiteY8" fmla="*/ 54274 h 972207"/>
            <a:gd name="connsiteX0" fmla="*/ 0 w 1535261"/>
            <a:gd name="connsiteY0" fmla="*/ 911364 h 917933"/>
            <a:gd name="connsiteX1" fmla="*/ 1005052 w 1535261"/>
            <a:gd name="connsiteY1" fmla="*/ 917933 h 917933"/>
            <a:gd name="connsiteX2" fmla="*/ 1156138 w 1535261"/>
            <a:gd name="connsiteY2" fmla="*/ 825967 h 917933"/>
            <a:gd name="connsiteX3" fmla="*/ 1157695 w 1535261"/>
            <a:gd name="connsiteY3" fmla="*/ 484353 h 917933"/>
            <a:gd name="connsiteX4" fmla="*/ 1066110 w 1535261"/>
            <a:gd name="connsiteY4" fmla="*/ 262577 h 917933"/>
            <a:gd name="connsiteX5" fmla="*/ 1262686 w 1535261"/>
            <a:gd name="connsiteY5" fmla="*/ 256009 h 917933"/>
            <a:gd name="connsiteX6" fmla="*/ 1148127 w 1535261"/>
            <a:gd name="connsiteY6" fmla="*/ 486842 h 917933"/>
            <a:gd name="connsiteX7" fmla="*/ 1535261 w 1535261"/>
            <a:gd name="connsiteY7" fmla="*/ 0 h 917933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31024 w 1262686"/>
            <a:gd name="connsiteY4" fmla="*/ 16577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38778 h 645347"/>
            <a:gd name="connsiteX1" fmla="*/ 1005052 w 1262686"/>
            <a:gd name="connsiteY1" fmla="*/ 645347 h 645347"/>
            <a:gd name="connsiteX2" fmla="*/ 1156138 w 1262686"/>
            <a:gd name="connsiteY2" fmla="*/ 553381 h 645347"/>
            <a:gd name="connsiteX3" fmla="*/ 1157695 w 1262686"/>
            <a:gd name="connsiteY3" fmla="*/ 211767 h 645347"/>
            <a:gd name="connsiteX4" fmla="*/ 1031024 w 1262686"/>
            <a:gd name="connsiteY4" fmla="*/ 0 h 645347"/>
            <a:gd name="connsiteX5" fmla="*/ 1262686 w 1262686"/>
            <a:gd name="connsiteY5" fmla="*/ 8447 h 645347"/>
            <a:gd name="connsiteX6" fmla="*/ 1148127 w 1262686"/>
            <a:gd name="connsiteY6" fmla="*/ 214256 h 645347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52662" h="651915">
              <a:moveTo>
                <a:pt x="0" y="645346"/>
              </a:moveTo>
              <a:lnTo>
                <a:pt x="1005052" y="651915"/>
              </a:lnTo>
              <a:cubicBezTo>
                <a:pt x="1090448" y="651915"/>
                <a:pt x="1150664" y="644251"/>
                <a:pt x="1156138" y="559949"/>
              </a:cubicBezTo>
              <a:cubicBezTo>
                <a:pt x="1155043" y="383682"/>
                <a:pt x="1153316" y="423069"/>
                <a:pt x="1157695" y="218335"/>
              </a:cubicBezTo>
              <a:cubicBezTo>
                <a:pt x="1120420" y="134817"/>
                <a:pt x="1064312" y="79136"/>
                <a:pt x="1031024" y="6568"/>
              </a:cubicBezTo>
              <a:lnTo>
                <a:pt x="1252662" y="0"/>
              </a:lnTo>
              <a:lnTo>
                <a:pt x="1148127" y="22082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174368</xdr:colOff>
      <xdr:row>19</xdr:row>
      <xdr:rowOff>48446</xdr:rowOff>
    </xdr:from>
    <xdr:to>
      <xdr:col>18</xdr:col>
      <xdr:colOff>325454</xdr:colOff>
      <xdr:row>19</xdr:row>
      <xdr:rowOff>194715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F23040E-2201-4727-BF15-5E4CA349A931}"/>
            </a:ext>
          </a:extLst>
        </xdr:cNvPr>
        <xdr:cNvSpPr/>
      </xdr:nvSpPr>
      <xdr:spPr>
        <a:xfrm>
          <a:off x="14938118" y="6846915"/>
          <a:ext cx="151086" cy="146269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128865</xdr:colOff>
      <xdr:row>19</xdr:row>
      <xdr:rowOff>62064</xdr:rowOff>
    </xdr:from>
    <xdr:to>
      <xdr:col>18</xdr:col>
      <xdr:colOff>128865</xdr:colOff>
      <xdr:row>19</xdr:row>
      <xdr:rowOff>193913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57E1746C-0297-4589-8ADC-1E174B5313E0}"/>
            </a:ext>
          </a:extLst>
        </xdr:cNvPr>
        <xdr:cNvSpPr/>
      </xdr:nvSpPr>
      <xdr:spPr>
        <a:xfrm>
          <a:off x="14892615" y="6860533"/>
          <a:ext cx="0" cy="131849"/>
        </a:xfrm>
        <a:custGeom>
          <a:avLst/>
          <a:gdLst>
            <a:gd name="connsiteX0" fmla="*/ 0 w 88280"/>
            <a:gd name="connsiteY0" fmla="*/ 0 h 162622"/>
            <a:gd name="connsiteX1" fmla="*/ 0 w 88280"/>
            <a:gd name="connsiteY1" fmla="*/ 130097 h 162622"/>
            <a:gd name="connsiteX2" fmla="*/ 13939 w 88280"/>
            <a:gd name="connsiteY2" fmla="*/ 130097 h 162622"/>
            <a:gd name="connsiteX3" fmla="*/ 88280 w 88280"/>
            <a:gd name="connsiteY3" fmla="*/ 162622 h 162622"/>
            <a:gd name="connsiteX0" fmla="*/ 0 w 13939"/>
            <a:gd name="connsiteY0" fmla="*/ 0 h 130097"/>
            <a:gd name="connsiteX1" fmla="*/ 0 w 13939"/>
            <a:gd name="connsiteY1" fmla="*/ 130097 h 130097"/>
            <a:gd name="connsiteX2" fmla="*/ 13939 w 13939"/>
            <a:gd name="connsiteY2" fmla="*/ 130097 h 130097"/>
            <a:gd name="connsiteX0" fmla="*/ 0 w 0"/>
            <a:gd name="connsiteY0" fmla="*/ 0 h 130097"/>
            <a:gd name="connsiteX1" fmla="*/ 0 w 0"/>
            <a:gd name="connsiteY1" fmla="*/ 130097 h 1300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30097">
              <a:moveTo>
                <a:pt x="0" y="0"/>
              </a:moveTo>
              <a:lnTo>
                <a:pt x="0" y="13009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91038</xdr:colOff>
      <xdr:row>20</xdr:row>
      <xdr:rowOff>227543</xdr:rowOff>
    </xdr:from>
    <xdr:ext cx="1172116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D26B78C-D92D-45E4-8130-FF46446B2146}"/>
            </a:ext>
          </a:extLst>
        </xdr:cNvPr>
        <xdr:cNvSpPr txBox="1"/>
      </xdr:nvSpPr>
      <xdr:spPr>
        <a:xfrm>
          <a:off x="13130435" y="7341733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twoCellAnchor>
    <xdr:from>
      <xdr:col>17</xdr:col>
      <xdr:colOff>469374</xdr:colOff>
      <xdr:row>13</xdr:row>
      <xdr:rowOff>71564</xdr:rowOff>
    </xdr:from>
    <xdr:to>
      <xdr:col>18</xdr:col>
      <xdr:colOff>192283</xdr:colOff>
      <xdr:row>14</xdr:row>
      <xdr:rowOff>264103</xdr:rowOff>
    </xdr:to>
    <xdr:sp macro="" textlink="">
      <xdr:nvSpPr>
        <xdr:cNvPr id="57" name="フリーフォーム: 図形 56">
          <a:extLst>
            <a:ext uri="{FF2B5EF4-FFF2-40B4-BE49-F238E27FC236}">
              <a16:creationId xmlns:a16="http://schemas.microsoft.com/office/drawing/2014/main" id="{3D572828-3213-4C6A-BD53-33AAA53D5520}"/>
            </a:ext>
          </a:extLst>
        </xdr:cNvPr>
        <xdr:cNvSpPr/>
      </xdr:nvSpPr>
      <xdr:spPr>
        <a:xfrm>
          <a:off x="14342256" y="4968535"/>
          <a:ext cx="630586" cy="506303"/>
        </a:xfrm>
        <a:custGeom>
          <a:avLst/>
          <a:gdLst>
            <a:gd name="connsiteX0" fmla="*/ 0 w 627784"/>
            <a:gd name="connsiteY0" fmla="*/ 510887 h 510887"/>
            <a:gd name="connsiteX1" fmla="*/ 528204 w 627784"/>
            <a:gd name="connsiteY1" fmla="*/ 506557 h 510887"/>
            <a:gd name="connsiteX2" fmla="*/ 528204 w 627784"/>
            <a:gd name="connsiteY2" fmla="*/ 138546 h 510887"/>
            <a:gd name="connsiteX3" fmla="*/ 437284 w 627784"/>
            <a:gd name="connsiteY3" fmla="*/ 0 h 510887"/>
            <a:gd name="connsiteX4" fmla="*/ 627784 w 627784"/>
            <a:gd name="connsiteY4" fmla="*/ 0 h 510887"/>
            <a:gd name="connsiteX5" fmla="*/ 536863 w 627784"/>
            <a:gd name="connsiteY5" fmla="*/ 121228 h 5108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27784" h="510887">
              <a:moveTo>
                <a:pt x="0" y="510887"/>
              </a:moveTo>
              <a:lnTo>
                <a:pt x="528204" y="506557"/>
              </a:lnTo>
              <a:lnTo>
                <a:pt x="528204" y="138546"/>
              </a:lnTo>
              <a:lnTo>
                <a:pt x="437284" y="0"/>
              </a:lnTo>
              <a:lnTo>
                <a:pt x="627784" y="0"/>
              </a:lnTo>
              <a:lnTo>
                <a:pt x="536863" y="121228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723788</xdr:colOff>
      <xdr:row>19</xdr:row>
      <xdr:rowOff>268515</xdr:rowOff>
    </xdr:from>
    <xdr:ext cx="459613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EB40864-214F-4CFD-B8DD-211077AAF657}"/>
            </a:ext>
          </a:extLst>
        </xdr:cNvPr>
        <xdr:cNvSpPr txBox="1"/>
      </xdr:nvSpPr>
      <xdr:spPr>
        <a:xfrm>
          <a:off x="12935495" y="706739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151618</xdr:colOff>
      <xdr:row>16</xdr:row>
      <xdr:rowOff>288696</xdr:rowOff>
    </xdr:from>
    <xdr:ext cx="275717" cy="117211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8C1BB58-8404-4A93-8518-3D1C83589F33}"/>
            </a:ext>
          </a:extLst>
        </xdr:cNvPr>
        <xdr:cNvSpPr txBox="1"/>
      </xdr:nvSpPr>
      <xdr:spPr>
        <a:xfrm rot="18341687">
          <a:off x="11924727" y="659110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10</xdr:col>
      <xdr:colOff>595478</xdr:colOff>
      <xdr:row>25</xdr:row>
      <xdr:rowOff>199329</xdr:rowOff>
    </xdr:from>
    <xdr:ext cx="325730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B6F232D-2A61-4290-ADF4-F3007E34ED62}"/>
            </a:ext>
          </a:extLst>
        </xdr:cNvPr>
        <xdr:cNvSpPr txBox="1"/>
      </xdr:nvSpPr>
      <xdr:spPr>
        <a:xfrm>
          <a:off x="8310728" y="8889060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Ｄ</a:t>
          </a:r>
        </a:p>
      </xdr:txBody>
    </xdr:sp>
    <xdr:clientData/>
  </xdr:oneCellAnchor>
  <xdr:oneCellAnchor>
    <xdr:from>
      <xdr:col>17</xdr:col>
      <xdr:colOff>752282</xdr:colOff>
      <xdr:row>16</xdr:row>
      <xdr:rowOff>225341</xdr:rowOff>
    </xdr:from>
    <xdr:ext cx="1092222" cy="4591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1A00B3-5DED-48F3-AEB9-D2DF0D12B334}"/>
            </a:ext>
          </a:extLst>
        </xdr:cNvPr>
        <xdr:cNvSpPr txBox="1"/>
      </xdr:nvSpPr>
      <xdr:spPr>
        <a:xfrm>
          <a:off x="14658782" y="6035591"/>
          <a:ext cx="1092222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17</xdr:col>
      <xdr:colOff>14654</xdr:colOff>
      <xdr:row>12</xdr:row>
      <xdr:rowOff>219807</xdr:rowOff>
    </xdr:from>
    <xdr:to>
      <xdr:col>17</xdr:col>
      <xdr:colOff>329712</xdr:colOff>
      <xdr:row>14</xdr:row>
      <xdr:rowOff>256442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E90797D1-EFA2-4977-BB11-E4E4FF40486A}"/>
            </a:ext>
          </a:extLst>
        </xdr:cNvPr>
        <xdr:cNvSpPr/>
      </xdr:nvSpPr>
      <xdr:spPr>
        <a:xfrm>
          <a:off x="13891846" y="4813788"/>
          <a:ext cx="315058" cy="666750"/>
        </a:xfrm>
        <a:custGeom>
          <a:avLst/>
          <a:gdLst>
            <a:gd name="connsiteX0" fmla="*/ 0 w 315058"/>
            <a:gd name="connsiteY0" fmla="*/ 666750 h 666750"/>
            <a:gd name="connsiteX1" fmla="*/ 197827 w 315058"/>
            <a:gd name="connsiteY1" fmla="*/ 402981 h 666750"/>
            <a:gd name="connsiteX2" fmla="*/ 183173 w 315058"/>
            <a:gd name="connsiteY2" fmla="*/ 139212 h 666750"/>
            <a:gd name="connsiteX3" fmla="*/ 65942 w 315058"/>
            <a:gd name="connsiteY3" fmla="*/ 0 h 666750"/>
            <a:gd name="connsiteX4" fmla="*/ 315058 w 315058"/>
            <a:gd name="connsiteY4" fmla="*/ 0 h 666750"/>
            <a:gd name="connsiteX5" fmla="*/ 175846 w 315058"/>
            <a:gd name="connsiteY5" fmla="*/ 146539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15058" h="666750">
              <a:moveTo>
                <a:pt x="0" y="666750"/>
              </a:moveTo>
              <a:lnTo>
                <a:pt x="197827" y="402981"/>
              </a:lnTo>
              <a:lnTo>
                <a:pt x="183173" y="139212"/>
              </a:lnTo>
              <a:lnTo>
                <a:pt x="65942" y="0"/>
              </a:lnTo>
              <a:lnTo>
                <a:pt x="315058" y="0"/>
              </a:lnTo>
              <a:lnTo>
                <a:pt x="175846" y="146539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772802</xdr:colOff>
      <xdr:row>14</xdr:row>
      <xdr:rowOff>246028</xdr:rowOff>
    </xdr:from>
    <xdr:ext cx="459613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AEF3C94-6FA9-4452-A32A-A4705698008D}"/>
            </a:ext>
          </a:extLst>
        </xdr:cNvPr>
        <xdr:cNvSpPr txBox="1"/>
      </xdr:nvSpPr>
      <xdr:spPr>
        <a:xfrm>
          <a:off x="13822052" y="547012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799725</xdr:colOff>
      <xdr:row>17</xdr:row>
      <xdr:rowOff>42309</xdr:rowOff>
    </xdr:from>
    <xdr:ext cx="325730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81CD22E-DCF9-40E4-A4A1-E321E5494F02}"/>
            </a:ext>
          </a:extLst>
        </xdr:cNvPr>
        <xdr:cNvSpPr txBox="1"/>
      </xdr:nvSpPr>
      <xdr:spPr>
        <a:xfrm>
          <a:off x="13021033" y="621157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D420-CF8D-4F66-BEED-C05806489834}">
  <dimension ref="A1:B9"/>
  <sheetViews>
    <sheetView showGridLines="0" showRowColHeaders="0" tabSelected="1" zoomScale="115" zoomScaleNormal="115" workbookViewId="0">
      <selection activeCell="B8" sqref="B8"/>
    </sheetView>
  </sheetViews>
  <sheetFormatPr defaultRowHeight="24" customHeight="1" x14ac:dyDescent="0.4"/>
  <cols>
    <col min="1" max="1" width="9" style="2"/>
    <col min="2" max="16384" width="9" style="1"/>
  </cols>
  <sheetData>
    <row r="1" spans="1:2" ht="24" customHeight="1" x14ac:dyDescent="0.4">
      <c r="A1" s="3" t="s">
        <v>79</v>
      </c>
    </row>
    <row r="3" spans="1:2" ht="24" customHeight="1" x14ac:dyDescent="0.4">
      <c r="A3" s="2" t="s">
        <v>91</v>
      </c>
      <c r="B3" s="1" t="s">
        <v>104</v>
      </c>
    </row>
    <row r="4" spans="1:2" ht="24" customHeight="1" x14ac:dyDescent="0.4">
      <c r="A4" s="2" t="s">
        <v>92</v>
      </c>
      <c r="B4" s="1" t="s">
        <v>99</v>
      </c>
    </row>
    <row r="5" spans="1:2" ht="24" customHeight="1" x14ac:dyDescent="0.4">
      <c r="A5" s="2" t="s">
        <v>93</v>
      </c>
      <c r="B5" s="1" t="s">
        <v>105</v>
      </c>
    </row>
    <row r="6" spans="1:2" ht="24" customHeight="1" x14ac:dyDescent="0.4">
      <c r="A6" s="2" t="s">
        <v>94</v>
      </c>
      <c r="B6" s="1" t="s">
        <v>100</v>
      </c>
    </row>
    <row r="7" spans="1:2" ht="24" customHeight="1" x14ac:dyDescent="0.4">
      <c r="A7" s="2" t="s">
        <v>95</v>
      </c>
      <c r="B7" s="1" t="s">
        <v>114</v>
      </c>
    </row>
    <row r="8" spans="1:2" ht="24" customHeight="1" x14ac:dyDescent="0.4">
      <c r="A8" s="2" t="s">
        <v>96</v>
      </c>
      <c r="B8" s="1" t="s">
        <v>107</v>
      </c>
    </row>
    <row r="9" spans="1:2" ht="24" customHeight="1" x14ac:dyDescent="0.4">
      <c r="A9" s="2" t="s">
        <v>97</v>
      </c>
      <c r="B9" s="1" t="s">
        <v>110</v>
      </c>
    </row>
  </sheetData>
  <sheetProtection algorithmName="SHA-512" hashValue="q7+3JXLpSlwDDtnLTKtCxRCAjCQghge1DOaCpIl9RIgCniK/SCUz57Emm0T2NFf3KsU5GSCdWRZZ1QlVmmdQNA==" saltValue="kWIcxGNELIiKAvkTxnSTYg==" spinCount="100000" sheet="1" objects="1" scenarios="1" selectLockedCells="1"/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50E9-5905-4847-A622-0E45E0229A72}">
  <sheetPr>
    <tabColor rgb="FF9BFFFF"/>
    <pageSetUpPr fitToPage="1"/>
  </sheetPr>
  <dimension ref="B1:AT57"/>
  <sheetViews>
    <sheetView showGridLines="0" showRowColHeaders="0" zoomScale="70" zoomScaleNormal="70" zoomScaleSheetLayoutView="70" workbookViewId="0">
      <selection activeCell="D9" sqref="D9"/>
    </sheetView>
  </sheetViews>
  <sheetFormatPr defaultColWidth="13.625" defaultRowHeight="24.95" customHeight="1" x14ac:dyDescent="0.4"/>
  <cols>
    <col min="1" max="1" width="1.875" style="40" customWidth="1"/>
    <col min="2" max="2" width="5.5" style="40" bestFit="1" customWidth="1"/>
    <col min="3" max="3" width="11.875" style="40" customWidth="1"/>
    <col min="4" max="4" width="10.875" style="47" bestFit="1" customWidth="1"/>
    <col min="5" max="5" width="9.875" style="47" bestFit="1" customWidth="1"/>
    <col min="6" max="6" width="12.125" style="47" bestFit="1" customWidth="1"/>
    <col min="7" max="7" width="11.875" style="47" bestFit="1" customWidth="1"/>
    <col min="8" max="9" width="13.375" style="40" bestFit="1" customWidth="1"/>
    <col min="10" max="10" width="10.375" style="40" customWidth="1"/>
    <col min="11" max="11" width="13.375" style="40" bestFit="1" customWidth="1"/>
    <col min="12" max="12" width="12.625" style="40" bestFit="1" customWidth="1"/>
    <col min="13" max="13" width="11.625" style="40" customWidth="1"/>
    <col min="14" max="14" width="10.625" style="47" bestFit="1" customWidth="1"/>
    <col min="15" max="17" width="10.875" style="40" bestFit="1" customWidth="1"/>
    <col min="18" max="18" width="11.875" style="40" bestFit="1" customWidth="1"/>
    <col min="19" max="19" width="11" style="40" customWidth="1"/>
    <col min="20" max="20" width="11.875" style="40" customWidth="1"/>
    <col min="21" max="21" width="12" style="40" customWidth="1"/>
    <col min="22" max="22" width="11.875" style="40" customWidth="1"/>
    <col min="23" max="23" width="1.625" style="40" customWidth="1"/>
    <col min="24" max="24" width="11" style="40" bestFit="1" customWidth="1"/>
    <col min="25" max="40" width="11.875" style="40" customWidth="1"/>
    <col min="41" max="41" width="12.25" style="40" customWidth="1"/>
    <col min="42" max="42" width="11.875" style="40" bestFit="1" customWidth="1"/>
    <col min="43" max="43" width="9.875" style="40" bestFit="1" customWidth="1"/>
    <col min="44" max="16384" width="13.625" style="40"/>
  </cols>
  <sheetData>
    <row r="1" spans="2:45" ht="31.5" thickBot="1" x14ac:dyDescent="0.45">
      <c r="B1" s="284" t="s">
        <v>108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2:45" ht="24.95" customHeight="1" thickTop="1" thickBot="1" x14ac:dyDescent="0.45">
      <c r="C2" s="123" t="s">
        <v>103</v>
      </c>
      <c r="D2" s="40"/>
      <c r="E2" s="40"/>
      <c r="F2" s="40"/>
      <c r="G2" s="40"/>
      <c r="N2" s="40"/>
      <c r="P2" s="41"/>
    </row>
    <row r="3" spans="2:45" ht="24.95" customHeight="1" thickTop="1" thickBot="1" x14ac:dyDescent="0.45">
      <c r="D3" s="40"/>
      <c r="E3" s="40"/>
      <c r="F3" s="40"/>
      <c r="G3" s="40"/>
      <c r="N3" s="40"/>
      <c r="P3" s="41"/>
    </row>
    <row r="4" spans="2:45" ht="30" customHeight="1" thickTop="1" thickBot="1" x14ac:dyDescent="0.45">
      <c r="B4" s="272" t="s">
        <v>74</v>
      </c>
      <c r="C4" s="273"/>
      <c r="D4" s="21">
        <v>0.2</v>
      </c>
      <c r="E4" s="42" t="s">
        <v>19</v>
      </c>
      <c r="F4" s="124" t="s">
        <v>81</v>
      </c>
      <c r="G4" s="137">
        <f>U54</f>
        <v>0</v>
      </c>
      <c r="H4" s="126" t="s">
        <v>17</v>
      </c>
      <c r="I4" s="124" t="s">
        <v>82</v>
      </c>
      <c r="J4" s="125">
        <f>V54</f>
        <v>0</v>
      </c>
      <c r="K4" s="140" t="s">
        <v>19</v>
      </c>
      <c r="L4" s="141" t="s">
        <v>106</v>
      </c>
      <c r="M4" s="43">
        <f>D4-J4</f>
        <v>0.2</v>
      </c>
      <c r="N4" s="44" t="s">
        <v>19</v>
      </c>
      <c r="O4" s="288" t="s">
        <v>31</v>
      </c>
      <c r="P4" s="289"/>
      <c r="Q4" s="43">
        <f>MAX(J9:J28,Q9:Q28)</f>
        <v>0</v>
      </c>
      <c r="R4" s="44" t="s">
        <v>15</v>
      </c>
      <c r="S4" s="45" t="s">
        <v>0</v>
      </c>
      <c r="T4" s="46" t="str">
        <f>IF(OR(M4&lt;0,Q4&gt;2),"×","○")</f>
        <v>○</v>
      </c>
    </row>
    <row r="5" spans="2:45" ht="24.95" customHeight="1" thickTop="1" thickBot="1" x14ac:dyDescent="0.2">
      <c r="D5" s="40"/>
      <c r="F5" s="48"/>
      <c r="G5" s="49"/>
      <c r="H5" s="50"/>
      <c r="I5" s="48"/>
      <c r="J5" s="49"/>
      <c r="K5" s="50"/>
      <c r="L5" s="51"/>
      <c r="M5" s="52">
        <v>0.05</v>
      </c>
      <c r="N5" s="53" t="s">
        <v>29</v>
      </c>
      <c r="O5" s="54"/>
      <c r="P5" s="54"/>
      <c r="Q5" s="52">
        <v>2</v>
      </c>
      <c r="R5" s="55" t="s">
        <v>69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6"/>
      <c r="AS5" s="57"/>
    </row>
    <row r="6" spans="2:45" ht="24.95" customHeight="1" thickTop="1" thickBot="1" x14ac:dyDescent="0.25">
      <c r="B6" s="274" t="s">
        <v>80</v>
      </c>
      <c r="C6" s="274"/>
      <c r="D6" s="279" t="s">
        <v>67</v>
      </c>
      <c r="E6" s="280"/>
      <c r="F6" s="280"/>
      <c r="G6" s="132"/>
      <c r="H6" s="58" t="s">
        <v>13</v>
      </c>
      <c r="I6" s="131"/>
      <c r="N6" s="40"/>
      <c r="O6" s="47"/>
      <c r="Y6" s="287" t="s">
        <v>64</v>
      </c>
      <c r="Z6" s="287"/>
      <c r="AA6" s="287" t="s">
        <v>65</v>
      </c>
      <c r="AB6" s="287"/>
    </row>
    <row r="7" spans="2:45" s="67" customFormat="1" ht="76.5" customHeight="1" thickTop="1" thickBot="1" x14ac:dyDescent="0.45">
      <c r="B7" s="275" t="s">
        <v>12</v>
      </c>
      <c r="C7" s="286" t="s">
        <v>61</v>
      </c>
      <c r="D7" s="59" t="s">
        <v>32</v>
      </c>
      <c r="E7" s="277" t="s">
        <v>75</v>
      </c>
      <c r="F7" s="278"/>
      <c r="G7" s="60" t="s">
        <v>102</v>
      </c>
      <c r="H7" s="290" t="s">
        <v>101</v>
      </c>
      <c r="I7" s="278"/>
      <c r="J7" s="61" t="s">
        <v>18</v>
      </c>
      <c r="K7" s="62" t="s">
        <v>70</v>
      </c>
      <c r="L7" s="59" t="s">
        <v>71</v>
      </c>
      <c r="M7" s="293" t="s">
        <v>72</v>
      </c>
      <c r="N7" s="292"/>
      <c r="O7" s="291" t="s">
        <v>24</v>
      </c>
      <c r="P7" s="292"/>
      <c r="Q7" s="61" t="s">
        <v>18</v>
      </c>
      <c r="R7" s="285" t="s">
        <v>62</v>
      </c>
      <c r="S7" s="271"/>
      <c r="T7" s="59" t="s">
        <v>23</v>
      </c>
      <c r="U7" s="63"/>
      <c r="V7" s="64"/>
      <c r="W7" s="65"/>
      <c r="X7" s="66"/>
      <c r="Y7" s="286" t="s">
        <v>63</v>
      </c>
      <c r="Z7" s="271"/>
      <c r="AA7" s="285" t="s">
        <v>26</v>
      </c>
      <c r="AB7" s="271"/>
      <c r="AO7" s="64"/>
    </row>
    <row r="8" spans="2:45" s="67" customFormat="1" ht="24.95" customHeight="1" thickTop="1" thickBot="1" x14ac:dyDescent="0.2">
      <c r="B8" s="276"/>
      <c r="C8" s="276"/>
      <c r="D8" s="68" t="s">
        <v>16</v>
      </c>
      <c r="E8" s="69" t="s">
        <v>20</v>
      </c>
      <c r="F8" s="70" t="s">
        <v>17</v>
      </c>
      <c r="G8" s="68" t="s">
        <v>13</v>
      </c>
      <c r="H8" s="70" t="s">
        <v>14</v>
      </c>
      <c r="I8" s="70" t="s">
        <v>15</v>
      </c>
      <c r="J8" s="71" t="s">
        <v>68</v>
      </c>
      <c r="K8" s="72" t="s">
        <v>17</v>
      </c>
      <c r="L8" s="68" t="s">
        <v>17</v>
      </c>
      <c r="M8" s="69" t="s">
        <v>20</v>
      </c>
      <c r="N8" s="70" t="s">
        <v>17</v>
      </c>
      <c r="O8" s="70" t="s">
        <v>13</v>
      </c>
      <c r="P8" s="70" t="s">
        <v>15</v>
      </c>
      <c r="Q8" s="71" t="s">
        <v>21</v>
      </c>
      <c r="R8" s="70"/>
      <c r="S8" s="73" t="s">
        <v>39</v>
      </c>
      <c r="T8" s="74" t="s">
        <v>17</v>
      </c>
      <c r="U8" s="75"/>
      <c r="V8" s="65"/>
      <c r="W8" s="65"/>
      <c r="X8" s="76" t="s">
        <v>66</v>
      </c>
      <c r="Y8" s="136">
        <v>130</v>
      </c>
      <c r="Z8" s="77" t="s">
        <v>39</v>
      </c>
      <c r="AA8" s="70"/>
      <c r="AB8" s="73" t="s">
        <v>39</v>
      </c>
      <c r="AO8" s="65"/>
    </row>
    <row r="9" spans="2:45" s="88" customFormat="1" ht="24.95" customHeight="1" thickTop="1" x14ac:dyDescent="0.15">
      <c r="B9" s="78">
        <v>1</v>
      </c>
      <c r="C9" s="79" t="str">
        <f>IF(AND(D9="",G9=""),"",直管換算表!F16&amp;"～"&amp;直管換算表!F17)</f>
        <v/>
      </c>
      <c r="D9" s="6"/>
      <c r="E9" s="8"/>
      <c r="F9" s="80" t="str">
        <f>IF(E9="","",E9/1000)</f>
        <v/>
      </c>
      <c r="G9" s="133"/>
      <c r="H9" s="81" t="str">
        <f t="shared" ref="H9:H28" si="0">IF(AND(D9="",G9=""),"",IF(G9="",$G$6*D9,G9))</f>
        <v/>
      </c>
      <c r="I9" s="82" t="str">
        <f>IF(H9="","",H9/60000)</f>
        <v/>
      </c>
      <c r="J9" s="80" t="str">
        <f>IFERROR(I9/(PI()*(F9/2)^2),"")</f>
        <v/>
      </c>
      <c r="K9" s="14"/>
      <c r="L9" s="15"/>
      <c r="M9" s="8"/>
      <c r="N9" s="83" t="str">
        <f>IF(M9="","",M9/1000)</f>
        <v/>
      </c>
      <c r="O9" s="84" t="str">
        <f>IF(H9="","",SUM($H$9:H9))</f>
        <v/>
      </c>
      <c r="P9" s="82" t="str">
        <f>IFERROR(O9/60000,"")</f>
        <v/>
      </c>
      <c r="Q9" s="83" t="str">
        <f t="shared" ref="Q9:Q28" si="1">IFERROR(P9/(PI()*(N9/2)^2),"")</f>
        <v/>
      </c>
      <c r="R9" s="82" t="str">
        <f t="shared" ref="R9:R28" si="2">IF(M9&lt;=50,AA9,Y9)</f>
        <v/>
      </c>
      <c r="S9" s="85" t="str">
        <f>IFERROR(R9*1000,"")</f>
        <v/>
      </c>
      <c r="T9" s="85" t="str">
        <f>IFERROR(K9*R9,"")</f>
        <v/>
      </c>
      <c r="U9" s="86"/>
      <c r="V9" s="49"/>
      <c r="W9" s="50"/>
      <c r="X9" s="40"/>
      <c r="Y9" s="87" t="str">
        <f t="shared" ref="Y9:Y28" si="3">IFERROR(10.666*$Y$8^(-1.85)*N9^(-4.87)*P9^(1.85),"")</f>
        <v/>
      </c>
      <c r="Z9" s="85" t="str">
        <f>IFERROR(Y9*1000,"")</f>
        <v/>
      </c>
      <c r="AA9" s="82" t="str">
        <f t="shared" ref="AA9:AA28" si="4">IFERROR((0.0126+(0.01739-(0.1087*N9))/(SQRT(Q9)))*(1/N9)*((Q9)^2)/(9.8*2),"")</f>
        <v/>
      </c>
      <c r="AB9" s="85" t="str">
        <f>IFERROR(AA9*1000,"")</f>
        <v/>
      </c>
      <c r="AO9" s="54"/>
    </row>
    <row r="10" spans="2:45" s="88" customFormat="1" ht="24.95" customHeight="1" x14ac:dyDescent="0.15">
      <c r="B10" s="78">
        <v>2</v>
      </c>
      <c r="C10" s="79" t="str">
        <f>IF(AND(D10="",G10=""),"",直管換算表!F17&amp;"～"&amp;直管換算表!F18)</f>
        <v/>
      </c>
      <c r="D10" s="9"/>
      <c r="E10" s="10"/>
      <c r="F10" s="80" t="str">
        <f t="shared" ref="F10:F28" si="5">IF(E10="","",E10/1000)</f>
        <v/>
      </c>
      <c r="G10" s="134"/>
      <c r="H10" s="81" t="str">
        <f t="shared" si="0"/>
        <v/>
      </c>
      <c r="I10" s="82" t="str">
        <f t="shared" ref="I10:I28" si="6">IF(H10="","",H10/60000)</f>
        <v/>
      </c>
      <c r="J10" s="80" t="str">
        <f t="shared" ref="J10:J28" si="7">IFERROR(I10/(PI()*(F10/2)^2),"")</f>
        <v/>
      </c>
      <c r="K10" s="16"/>
      <c r="L10" s="5"/>
      <c r="M10" s="17"/>
      <c r="N10" s="83" t="str">
        <f t="shared" ref="N10:N28" si="8">IF(M10="","",M10/1000)</f>
        <v/>
      </c>
      <c r="O10" s="84" t="str">
        <f>IF(H10="","",SUM($H$9:H10))</f>
        <v/>
      </c>
      <c r="P10" s="82" t="str">
        <f t="shared" ref="P10:P28" si="9">IFERROR(O10/60000,"")</f>
        <v/>
      </c>
      <c r="Q10" s="83" t="str">
        <f t="shared" si="1"/>
        <v/>
      </c>
      <c r="R10" s="82" t="str">
        <f t="shared" si="2"/>
        <v/>
      </c>
      <c r="S10" s="85" t="str">
        <f t="shared" ref="S10:S28" si="10">IFERROR(R10*1000,"")</f>
        <v/>
      </c>
      <c r="T10" s="85" t="str">
        <f t="shared" ref="T10:T28" si="11">IFERROR(K10*R10,"")</f>
        <v/>
      </c>
      <c r="U10" s="86"/>
      <c r="V10" s="49"/>
      <c r="W10" s="50"/>
      <c r="X10" s="40"/>
      <c r="Y10" s="82" t="str">
        <f t="shared" si="3"/>
        <v/>
      </c>
      <c r="Z10" s="85" t="str">
        <f t="shared" ref="Z10:Z28" si="12">IFERROR(Y10*1000,"")</f>
        <v/>
      </c>
      <c r="AA10" s="82" t="str">
        <f t="shared" si="4"/>
        <v/>
      </c>
      <c r="AB10" s="85" t="str">
        <f t="shared" ref="AB10:AB28" si="13">IFERROR(AA10*1000,"")</f>
        <v/>
      </c>
      <c r="AO10" s="54"/>
    </row>
    <row r="11" spans="2:45" s="88" customFormat="1" ht="24.95" customHeight="1" x14ac:dyDescent="0.15">
      <c r="B11" s="78">
        <v>3</v>
      </c>
      <c r="C11" s="79" t="str">
        <f>IF(AND(D11="",G11=""),"",直管換算表!F18&amp;"～"&amp;直管換算表!F19)</f>
        <v/>
      </c>
      <c r="D11" s="9"/>
      <c r="E11" s="10"/>
      <c r="F11" s="80" t="str">
        <f t="shared" si="5"/>
        <v/>
      </c>
      <c r="G11" s="134"/>
      <c r="H11" s="81" t="str">
        <f t="shared" si="0"/>
        <v/>
      </c>
      <c r="I11" s="82" t="str">
        <f t="shared" si="6"/>
        <v/>
      </c>
      <c r="J11" s="80" t="str">
        <f t="shared" si="7"/>
        <v/>
      </c>
      <c r="K11" s="16"/>
      <c r="L11" s="5"/>
      <c r="M11" s="17"/>
      <c r="N11" s="83" t="str">
        <f t="shared" si="8"/>
        <v/>
      </c>
      <c r="O11" s="84" t="str">
        <f>IF(H11="","",SUM($H$9:H11))</f>
        <v/>
      </c>
      <c r="P11" s="82" t="str">
        <f t="shared" si="9"/>
        <v/>
      </c>
      <c r="Q11" s="83" t="str">
        <f t="shared" si="1"/>
        <v/>
      </c>
      <c r="R11" s="82" t="str">
        <f t="shared" si="2"/>
        <v/>
      </c>
      <c r="S11" s="85" t="str">
        <f t="shared" si="10"/>
        <v/>
      </c>
      <c r="T11" s="85" t="str">
        <f t="shared" si="11"/>
        <v/>
      </c>
      <c r="U11" s="86"/>
      <c r="V11" s="49"/>
      <c r="W11" s="50"/>
      <c r="X11" s="40"/>
      <c r="Y11" s="82" t="str">
        <f t="shared" si="3"/>
        <v/>
      </c>
      <c r="Z11" s="85" t="str">
        <f t="shared" si="12"/>
        <v/>
      </c>
      <c r="AA11" s="82" t="str">
        <f t="shared" si="4"/>
        <v/>
      </c>
      <c r="AB11" s="85" t="str">
        <f t="shared" si="13"/>
        <v/>
      </c>
      <c r="AO11" s="54"/>
    </row>
    <row r="12" spans="2:45" s="88" customFormat="1" ht="24.95" customHeight="1" x14ac:dyDescent="0.15">
      <c r="B12" s="78">
        <v>4</v>
      </c>
      <c r="C12" s="79" t="str">
        <f>IF(AND(D12="",G12=""),"",直管換算表!F19&amp;"～"&amp;直管換算表!F20)</f>
        <v/>
      </c>
      <c r="D12" s="9"/>
      <c r="E12" s="10"/>
      <c r="F12" s="80" t="str">
        <f t="shared" si="5"/>
        <v/>
      </c>
      <c r="G12" s="134"/>
      <c r="H12" s="81" t="str">
        <f t="shared" si="0"/>
        <v/>
      </c>
      <c r="I12" s="82" t="str">
        <f t="shared" si="6"/>
        <v/>
      </c>
      <c r="J12" s="80" t="str">
        <f t="shared" si="7"/>
        <v/>
      </c>
      <c r="K12" s="16"/>
      <c r="L12" s="5"/>
      <c r="M12" s="17"/>
      <c r="N12" s="83" t="str">
        <f t="shared" si="8"/>
        <v/>
      </c>
      <c r="O12" s="84" t="str">
        <f>IF(H12="","",SUM($H$9:H12))</f>
        <v/>
      </c>
      <c r="P12" s="82" t="str">
        <f t="shared" si="9"/>
        <v/>
      </c>
      <c r="Q12" s="83" t="str">
        <f t="shared" si="1"/>
        <v/>
      </c>
      <c r="R12" s="82" t="str">
        <f t="shared" si="2"/>
        <v/>
      </c>
      <c r="S12" s="85" t="str">
        <f t="shared" si="10"/>
        <v/>
      </c>
      <c r="T12" s="85" t="str">
        <f t="shared" si="11"/>
        <v/>
      </c>
      <c r="U12" s="86"/>
      <c r="V12" s="49"/>
      <c r="W12" s="50"/>
      <c r="X12" s="40"/>
      <c r="Y12" s="82" t="str">
        <f t="shared" si="3"/>
        <v/>
      </c>
      <c r="Z12" s="85" t="str">
        <f t="shared" si="12"/>
        <v/>
      </c>
      <c r="AA12" s="82" t="str">
        <f t="shared" si="4"/>
        <v/>
      </c>
      <c r="AB12" s="85" t="str">
        <f t="shared" si="13"/>
        <v/>
      </c>
      <c r="AO12" s="54"/>
    </row>
    <row r="13" spans="2:45" s="88" customFormat="1" ht="24.95" customHeight="1" x14ac:dyDescent="0.15">
      <c r="B13" s="78">
        <v>5</v>
      </c>
      <c r="C13" s="79" t="str">
        <f>IF(AND(D13="",G13=""),"",直管換算表!F20&amp;"～"&amp;直管換算表!F21)</f>
        <v/>
      </c>
      <c r="D13" s="9"/>
      <c r="E13" s="10"/>
      <c r="F13" s="80" t="str">
        <f t="shared" si="5"/>
        <v/>
      </c>
      <c r="G13" s="134"/>
      <c r="H13" s="81" t="str">
        <f t="shared" si="0"/>
        <v/>
      </c>
      <c r="I13" s="82" t="str">
        <f t="shared" si="6"/>
        <v/>
      </c>
      <c r="J13" s="80" t="str">
        <f t="shared" si="7"/>
        <v/>
      </c>
      <c r="K13" s="16"/>
      <c r="L13" s="5"/>
      <c r="M13" s="17"/>
      <c r="N13" s="83" t="str">
        <f t="shared" si="8"/>
        <v/>
      </c>
      <c r="O13" s="84" t="str">
        <f>IF(H13="","",SUM($H$9:H13))</f>
        <v/>
      </c>
      <c r="P13" s="82" t="str">
        <f t="shared" si="9"/>
        <v/>
      </c>
      <c r="Q13" s="83" t="str">
        <f t="shared" si="1"/>
        <v/>
      </c>
      <c r="R13" s="82" t="str">
        <f t="shared" si="2"/>
        <v/>
      </c>
      <c r="S13" s="85" t="str">
        <f t="shared" si="10"/>
        <v/>
      </c>
      <c r="T13" s="85" t="str">
        <f t="shared" si="11"/>
        <v/>
      </c>
      <c r="U13" s="86"/>
      <c r="V13" s="49"/>
      <c r="W13" s="50"/>
      <c r="X13" s="40"/>
      <c r="Y13" s="82" t="str">
        <f t="shared" si="3"/>
        <v/>
      </c>
      <c r="Z13" s="85" t="str">
        <f t="shared" si="12"/>
        <v/>
      </c>
      <c r="AA13" s="82" t="str">
        <f t="shared" si="4"/>
        <v/>
      </c>
      <c r="AB13" s="85" t="str">
        <f t="shared" si="13"/>
        <v/>
      </c>
      <c r="AO13" s="54"/>
    </row>
    <row r="14" spans="2:45" s="88" customFormat="1" ht="24.95" customHeight="1" x14ac:dyDescent="0.15">
      <c r="B14" s="78">
        <v>6</v>
      </c>
      <c r="C14" s="79" t="str">
        <f>IF(AND(D14="",G14=""),"",直管換算表!F21&amp;"～"&amp;直管換算表!F22)</f>
        <v/>
      </c>
      <c r="D14" s="9"/>
      <c r="E14" s="10"/>
      <c r="F14" s="80" t="str">
        <f t="shared" si="5"/>
        <v/>
      </c>
      <c r="G14" s="134"/>
      <c r="H14" s="81" t="str">
        <f t="shared" si="0"/>
        <v/>
      </c>
      <c r="I14" s="82" t="str">
        <f t="shared" si="6"/>
        <v/>
      </c>
      <c r="J14" s="80" t="str">
        <f t="shared" si="7"/>
        <v/>
      </c>
      <c r="K14" s="16"/>
      <c r="L14" s="5"/>
      <c r="M14" s="17"/>
      <c r="N14" s="83" t="str">
        <f t="shared" si="8"/>
        <v/>
      </c>
      <c r="O14" s="84" t="str">
        <f>IF(H14="","",SUM($H$9:H14))</f>
        <v/>
      </c>
      <c r="P14" s="82" t="str">
        <f t="shared" si="9"/>
        <v/>
      </c>
      <c r="Q14" s="83" t="str">
        <f t="shared" si="1"/>
        <v/>
      </c>
      <c r="R14" s="82" t="str">
        <f t="shared" si="2"/>
        <v/>
      </c>
      <c r="S14" s="85" t="str">
        <f t="shared" si="10"/>
        <v/>
      </c>
      <c r="T14" s="85" t="str">
        <f t="shared" si="11"/>
        <v/>
      </c>
      <c r="U14" s="86"/>
      <c r="V14" s="49"/>
      <c r="W14" s="50"/>
      <c r="X14" s="40"/>
      <c r="Y14" s="82" t="str">
        <f t="shared" si="3"/>
        <v/>
      </c>
      <c r="Z14" s="85" t="str">
        <f t="shared" si="12"/>
        <v/>
      </c>
      <c r="AA14" s="82" t="str">
        <f t="shared" si="4"/>
        <v/>
      </c>
      <c r="AB14" s="85" t="str">
        <f t="shared" si="13"/>
        <v/>
      </c>
      <c r="AO14" s="54"/>
    </row>
    <row r="15" spans="2:45" s="88" customFormat="1" ht="24.95" customHeight="1" x14ac:dyDescent="0.15">
      <c r="B15" s="78">
        <v>7</v>
      </c>
      <c r="C15" s="79" t="str">
        <f>IF(AND(D15="",G15=""),"",直管換算表!F22&amp;"～"&amp;直管換算表!F23)</f>
        <v/>
      </c>
      <c r="D15" s="9"/>
      <c r="E15" s="10"/>
      <c r="F15" s="80" t="str">
        <f t="shared" si="5"/>
        <v/>
      </c>
      <c r="G15" s="134"/>
      <c r="H15" s="81" t="str">
        <f t="shared" si="0"/>
        <v/>
      </c>
      <c r="I15" s="82" t="str">
        <f t="shared" si="6"/>
        <v/>
      </c>
      <c r="J15" s="80" t="str">
        <f t="shared" si="7"/>
        <v/>
      </c>
      <c r="K15" s="16"/>
      <c r="L15" s="5"/>
      <c r="M15" s="17"/>
      <c r="N15" s="83" t="str">
        <f t="shared" si="8"/>
        <v/>
      </c>
      <c r="O15" s="84" t="str">
        <f>IF(H15="","",SUM($H$9:H15))</f>
        <v/>
      </c>
      <c r="P15" s="82" t="str">
        <f t="shared" si="9"/>
        <v/>
      </c>
      <c r="Q15" s="83" t="str">
        <f t="shared" si="1"/>
        <v/>
      </c>
      <c r="R15" s="82" t="str">
        <f t="shared" si="2"/>
        <v/>
      </c>
      <c r="S15" s="85" t="str">
        <f t="shared" si="10"/>
        <v/>
      </c>
      <c r="T15" s="85" t="str">
        <f t="shared" si="11"/>
        <v/>
      </c>
      <c r="U15" s="86"/>
      <c r="V15" s="49"/>
      <c r="W15" s="50"/>
      <c r="X15" s="40"/>
      <c r="Y15" s="82" t="str">
        <f t="shared" si="3"/>
        <v/>
      </c>
      <c r="Z15" s="85" t="str">
        <f t="shared" si="12"/>
        <v/>
      </c>
      <c r="AA15" s="82" t="str">
        <f t="shared" si="4"/>
        <v/>
      </c>
      <c r="AB15" s="85" t="str">
        <f t="shared" si="13"/>
        <v/>
      </c>
      <c r="AO15" s="54"/>
    </row>
    <row r="16" spans="2:45" s="88" customFormat="1" ht="24.95" customHeight="1" x14ac:dyDescent="0.15">
      <c r="B16" s="78">
        <v>8</v>
      </c>
      <c r="C16" s="79" t="str">
        <f>IF(AND(D16="",G16=""),"",直管換算表!F23&amp;"～"&amp;直管換算表!F24)</f>
        <v/>
      </c>
      <c r="D16" s="9"/>
      <c r="E16" s="10"/>
      <c r="F16" s="80" t="str">
        <f t="shared" si="5"/>
        <v/>
      </c>
      <c r="G16" s="134"/>
      <c r="H16" s="81" t="str">
        <f t="shared" si="0"/>
        <v/>
      </c>
      <c r="I16" s="82" t="str">
        <f t="shared" si="6"/>
        <v/>
      </c>
      <c r="J16" s="80" t="str">
        <f t="shared" si="7"/>
        <v/>
      </c>
      <c r="K16" s="16"/>
      <c r="L16" s="5"/>
      <c r="M16" s="17"/>
      <c r="N16" s="83" t="str">
        <f t="shared" si="8"/>
        <v/>
      </c>
      <c r="O16" s="84" t="str">
        <f>IF(H16="","",SUM($H$9:H16))</f>
        <v/>
      </c>
      <c r="P16" s="82" t="str">
        <f t="shared" si="9"/>
        <v/>
      </c>
      <c r="Q16" s="83" t="str">
        <f t="shared" si="1"/>
        <v/>
      </c>
      <c r="R16" s="82" t="str">
        <f t="shared" si="2"/>
        <v/>
      </c>
      <c r="S16" s="85" t="str">
        <f t="shared" si="10"/>
        <v/>
      </c>
      <c r="T16" s="85" t="str">
        <f t="shared" si="11"/>
        <v/>
      </c>
      <c r="U16" s="86"/>
      <c r="V16" s="49"/>
      <c r="W16" s="50"/>
      <c r="X16" s="40"/>
      <c r="Y16" s="82" t="str">
        <f t="shared" si="3"/>
        <v/>
      </c>
      <c r="Z16" s="85" t="str">
        <f t="shared" si="12"/>
        <v/>
      </c>
      <c r="AA16" s="82" t="str">
        <f t="shared" si="4"/>
        <v/>
      </c>
      <c r="AB16" s="85" t="str">
        <f t="shared" si="13"/>
        <v/>
      </c>
      <c r="AO16" s="54"/>
    </row>
    <row r="17" spans="2:46" s="88" customFormat="1" ht="24.95" customHeight="1" x14ac:dyDescent="0.15">
      <c r="B17" s="78">
        <v>9</v>
      </c>
      <c r="C17" s="79" t="str">
        <f>IF(AND(D17="",G17=""),"",直管換算表!F24&amp;"～"&amp;直管換算表!F25)</f>
        <v/>
      </c>
      <c r="D17" s="9"/>
      <c r="E17" s="10"/>
      <c r="F17" s="80" t="str">
        <f t="shared" si="5"/>
        <v/>
      </c>
      <c r="G17" s="134"/>
      <c r="H17" s="81" t="str">
        <f t="shared" si="0"/>
        <v/>
      </c>
      <c r="I17" s="82" t="str">
        <f t="shared" si="6"/>
        <v/>
      </c>
      <c r="J17" s="80" t="str">
        <f t="shared" si="7"/>
        <v/>
      </c>
      <c r="K17" s="16"/>
      <c r="L17" s="5"/>
      <c r="M17" s="17"/>
      <c r="N17" s="83" t="str">
        <f t="shared" si="8"/>
        <v/>
      </c>
      <c r="O17" s="84" t="str">
        <f>IF(H17="","",SUM($H$9:H17))</f>
        <v/>
      </c>
      <c r="P17" s="82" t="str">
        <f t="shared" si="9"/>
        <v/>
      </c>
      <c r="Q17" s="83" t="str">
        <f t="shared" si="1"/>
        <v/>
      </c>
      <c r="R17" s="82" t="str">
        <f t="shared" si="2"/>
        <v/>
      </c>
      <c r="S17" s="85" t="str">
        <f t="shared" si="10"/>
        <v/>
      </c>
      <c r="T17" s="85" t="str">
        <f t="shared" si="11"/>
        <v/>
      </c>
      <c r="U17" s="86"/>
      <c r="V17" s="49"/>
      <c r="W17" s="50"/>
      <c r="X17" s="40"/>
      <c r="Y17" s="82" t="str">
        <f t="shared" si="3"/>
        <v/>
      </c>
      <c r="Z17" s="85" t="str">
        <f t="shared" si="12"/>
        <v/>
      </c>
      <c r="AA17" s="82" t="str">
        <f t="shared" si="4"/>
        <v/>
      </c>
      <c r="AB17" s="85" t="str">
        <f t="shared" si="13"/>
        <v/>
      </c>
      <c r="AO17" s="54"/>
    </row>
    <row r="18" spans="2:46" s="88" customFormat="1" ht="24.95" customHeight="1" x14ac:dyDescent="0.15">
      <c r="B18" s="78">
        <v>10</v>
      </c>
      <c r="C18" s="79" t="str">
        <f>IF(AND(D18="",G18=""),"",直管換算表!F25&amp;"～"&amp;直管換算表!F26)</f>
        <v/>
      </c>
      <c r="D18" s="9"/>
      <c r="E18" s="10"/>
      <c r="F18" s="80" t="str">
        <f t="shared" si="5"/>
        <v/>
      </c>
      <c r="G18" s="134"/>
      <c r="H18" s="81" t="str">
        <f t="shared" si="0"/>
        <v/>
      </c>
      <c r="I18" s="82" t="str">
        <f t="shared" si="6"/>
        <v/>
      </c>
      <c r="J18" s="80" t="str">
        <f t="shared" si="7"/>
        <v/>
      </c>
      <c r="K18" s="16"/>
      <c r="L18" s="5"/>
      <c r="M18" s="17"/>
      <c r="N18" s="83" t="str">
        <f t="shared" si="8"/>
        <v/>
      </c>
      <c r="O18" s="84" t="str">
        <f>IF(H18="","",SUM($H$9:H18))</f>
        <v/>
      </c>
      <c r="P18" s="82" t="str">
        <f t="shared" si="9"/>
        <v/>
      </c>
      <c r="Q18" s="83" t="str">
        <f t="shared" si="1"/>
        <v/>
      </c>
      <c r="R18" s="82" t="str">
        <f t="shared" si="2"/>
        <v/>
      </c>
      <c r="S18" s="85" t="str">
        <f t="shared" si="10"/>
        <v/>
      </c>
      <c r="T18" s="85" t="str">
        <f t="shared" si="11"/>
        <v/>
      </c>
      <c r="U18" s="86"/>
      <c r="V18" s="49"/>
      <c r="W18" s="50"/>
      <c r="X18" s="40"/>
      <c r="Y18" s="82" t="str">
        <f t="shared" si="3"/>
        <v/>
      </c>
      <c r="Z18" s="85" t="str">
        <f t="shared" si="12"/>
        <v/>
      </c>
      <c r="AA18" s="82" t="str">
        <f t="shared" si="4"/>
        <v/>
      </c>
      <c r="AB18" s="85" t="str">
        <f t="shared" si="13"/>
        <v/>
      </c>
      <c r="AO18" s="54"/>
    </row>
    <row r="19" spans="2:46" s="88" customFormat="1" ht="24.95" customHeight="1" x14ac:dyDescent="0.15">
      <c r="B19" s="78">
        <v>11</v>
      </c>
      <c r="C19" s="79" t="str">
        <f>IF(AND(D19="",G19=""),"",直管換算表!F26&amp;"～"&amp;直管換算表!F27)</f>
        <v/>
      </c>
      <c r="D19" s="9"/>
      <c r="E19" s="10"/>
      <c r="F19" s="80" t="str">
        <f t="shared" si="5"/>
        <v/>
      </c>
      <c r="G19" s="134"/>
      <c r="H19" s="81" t="str">
        <f t="shared" si="0"/>
        <v/>
      </c>
      <c r="I19" s="82" t="str">
        <f t="shared" si="6"/>
        <v/>
      </c>
      <c r="J19" s="80" t="str">
        <f t="shared" si="7"/>
        <v/>
      </c>
      <c r="K19" s="16"/>
      <c r="L19" s="5"/>
      <c r="M19" s="17"/>
      <c r="N19" s="83" t="str">
        <f t="shared" si="8"/>
        <v/>
      </c>
      <c r="O19" s="84" t="str">
        <f>IF(H19="","",SUM($H$9:H19))</f>
        <v/>
      </c>
      <c r="P19" s="82" t="str">
        <f t="shared" si="9"/>
        <v/>
      </c>
      <c r="Q19" s="83" t="str">
        <f t="shared" si="1"/>
        <v/>
      </c>
      <c r="R19" s="82" t="str">
        <f t="shared" si="2"/>
        <v/>
      </c>
      <c r="S19" s="85" t="str">
        <f t="shared" si="10"/>
        <v/>
      </c>
      <c r="T19" s="85" t="str">
        <f t="shared" si="11"/>
        <v/>
      </c>
      <c r="U19" s="86"/>
      <c r="V19" s="49"/>
      <c r="W19" s="50"/>
      <c r="X19" s="40"/>
      <c r="Y19" s="82" t="str">
        <f t="shared" si="3"/>
        <v/>
      </c>
      <c r="Z19" s="85" t="str">
        <f t="shared" si="12"/>
        <v/>
      </c>
      <c r="AA19" s="82" t="str">
        <f t="shared" si="4"/>
        <v/>
      </c>
      <c r="AB19" s="85" t="str">
        <f t="shared" si="13"/>
        <v/>
      </c>
      <c r="AO19" s="54"/>
    </row>
    <row r="20" spans="2:46" s="88" customFormat="1" ht="24.95" customHeight="1" x14ac:dyDescent="0.15">
      <c r="B20" s="78">
        <v>12</v>
      </c>
      <c r="C20" s="79" t="str">
        <f>IF(AND(D20="",G20=""),"",直管換算表!F27&amp;"～"&amp;直管換算表!F28)</f>
        <v/>
      </c>
      <c r="D20" s="9"/>
      <c r="E20" s="10"/>
      <c r="F20" s="80" t="str">
        <f t="shared" si="5"/>
        <v/>
      </c>
      <c r="G20" s="134"/>
      <c r="H20" s="81" t="str">
        <f t="shared" si="0"/>
        <v/>
      </c>
      <c r="I20" s="82" t="str">
        <f t="shared" si="6"/>
        <v/>
      </c>
      <c r="J20" s="80" t="str">
        <f t="shared" si="7"/>
        <v/>
      </c>
      <c r="K20" s="16"/>
      <c r="L20" s="5"/>
      <c r="M20" s="17"/>
      <c r="N20" s="83" t="str">
        <f t="shared" si="8"/>
        <v/>
      </c>
      <c r="O20" s="84" t="str">
        <f>IF(H20="","",SUM($H$9:H20))</f>
        <v/>
      </c>
      <c r="P20" s="82" t="str">
        <f t="shared" si="9"/>
        <v/>
      </c>
      <c r="Q20" s="83" t="str">
        <f t="shared" si="1"/>
        <v/>
      </c>
      <c r="R20" s="82" t="str">
        <f t="shared" si="2"/>
        <v/>
      </c>
      <c r="S20" s="85" t="str">
        <f t="shared" si="10"/>
        <v/>
      </c>
      <c r="T20" s="85" t="str">
        <f t="shared" si="11"/>
        <v/>
      </c>
      <c r="U20" s="86"/>
      <c r="V20" s="49"/>
      <c r="W20" s="50"/>
      <c r="X20" s="40"/>
      <c r="Y20" s="82" t="str">
        <f t="shared" si="3"/>
        <v/>
      </c>
      <c r="Z20" s="85" t="str">
        <f t="shared" si="12"/>
        <v/>
      </c>
      <c r="AA20" s="82" t="str">
        <f t="shared" si="4"/>
        <v/>
      </c>
      <c r="AB20" s="85" t="str">
        <f t="shared" si="13"/>
        <v/>
      </c>
      <c r="AO20" s="54"/>
    </row>
    <row r="21" spans="2:46" s="88" customFormat="1" ht="24.95" customHeight="1" x14ac:dyDescent="0.15">
      <c r="B21" s="78">
        <v>13</v>
      </c>
      <c r="C21" s="79" t="str">
        <f>IF(AND(D21="",G21=""),"",直管換算表!F28&amp;"～"&amp;直管換算表!F29)</f>
        <v/>
      </c>
      <c r="D21" s="9"/>
      <c r="E21" s="10"/>
      <c r="F21" s="80" t="str">
        <f t="shared" si="5"/>
        <v/>
      </c>
      <c r="G21" s="134"/>
      <c r="H21" s="81" t="str">
        <f t="shared" si="0"/>
        <v/>
      </c>
      <c r="I21" s="82" t="str">
        <f t="shared" si="6"/>
        <v/>
      </c>
      <c r="J21" s="80" t="str">
        <f t="shared" si="7"/>
        <v/>
      </c>
      <c r="K21" s="16"/>
      <c r="L21" s="5"/>
      <c r="M21" s="17"/>
      <c r="N21" s="83" t="str">
        <f t="shared" si="8"/>
        <v/>
      </c>
      <c r="O21" s="84" t="str">
        <f>IF(H21="","",SUM($H$9:H21))</f>
        <v/>
      </c>
      <c r="P21" s="82" t="str">
        <f t="shared" si="9"/>
        <v/>
      </c>
      <c r="Q21" s="83" t="str">
        <f t="shared" si="1"/>
        <v/>
      </c>
      <c r="R21" s="82" t="str">
        <f t="shared" si="2"/>
        <v/>
      </c>
      <c r="S21" s="85" t="str">
        <f t="shared" si="10"/>
        <v/>
      </c>
      <c r="T21" s="85" t="str">
        <f t="shared" si="11"/>
        <v/>
      </c>
      <c r="U21" s="86"/>
      <c r="V21" s="49"/>
      <c r="W21" s="50"/>
      <c r="X21" s="40"/>
      <c r="Y21" s="82" t="str">
        <f t="shared" si="3"/>
        <v/>
      </c>
      <c r="Z21" s="85" t="str">
        <f t="shared" si="12"/>
        <v/>
      </c>
      <c r="AA21" s="82" t="str">
        <f t="shared" si="4"/>
        <v/>
      </c>
      <c r="AB21" s="85" t="str">
        <f t="shared" si="13"/>
        <v/>
      </c>
      <c r="AO21" s="54"/>
    </row>
    <row r="22" spans="2:46" s="88" customFormat="1" ht="24.95" customHeight="1" x14ac:dyDescent="0.15">
      <c r="B22" s="78">
        <v>14</v>
      </c>
      <c r="C22" s="79" t="str">
        <f>IF(AND(D22="",G22=""),"",直管換算表!F29&amp;"～"&amp;直管換算表!F30)</f>
        <v/>
      </c>
      <c r="D22" s="9"/>
      <c r="E22" s="10"/>
      <c r="F22" s="80" t="str">
        <f t="shared" si="5"/>
        <v/>
      </c>
      <c r="G22" s="134"/>
      <c r="H22" s="81" t="str">
        <f t="shared" si="0"/>
        <v/>
      </c>
      <c r="I22" s="82" t="str">
        <f t="shared" si="6"/>
        <v/>
      </c>
      <c r="J22" s="80" t="str">
        <f t="shared" si="7"/>
        <v/>
      </c>
      <c r="K22" s="16"/>
      <c r="L22" s="5"/>
      <c r="M22" s="17"/>
      <c r="N22" s="83" t="str">
        <f t="shared" si="8"/>
        <v/>
      </c>
      <c r="O22" s="84" t="str">
        <f>IF(H22="","",SUM($H$9:H22))</f>
        <v/>
      </c>
      <c r="P22" s="82" t="str">
        <f t="shared" si="9"/>
        <v/>
      </c>
      <c r="Q22" s="83" t="str">
        <f t="shared" si="1"/>
        <v/>
      </c>
      <c r="R22" s="82" t="str">
        <f t="shared" si="2"/>
        <v/>
      </c>
      <c r="S22" s="85" t="str">
        <f t="shared" si="10"/>
        <v/>
      </c>
      <c r="T22" s="85" t="str">
        <f t="shared" si="11"/>
        <v/>
      </c>
      <c r="U22" s="86"/>
      <c r="V22" s="49"/>
      <c r="W22" s="50"/>
      <c r="X22" s="40"/>
      <c r="Y22" s="82" t="str">
        <f t="shared" si="3"/>
        <v/>
      </c>
      <c r="Z22" s="85" t="str">
        <f t="shared" si="12"/>
        <v/>
      </c>
      <c r="AA22" s="82" t="str">
        <f t="shared" si="4"/>
        <v/>
      </c>
      <c r="AB22" s="85" t="str">
        <f t="shared" si="13"/>
        <v/>
      </c>
      <c r="AO22" s="54"/>
    </row>
    <row r="23" spans="2:46" s="88" customFormat="1" ht="24.95" customHeight="1" x14ac:dyDescent="0.15">
      <c r="B23" s="78">
        <v>15</v>
      </c>
      <c r="C23" s="79" t="str">
        <f>IF(AND(D23="",G23=""),"",直管換算表!F30&amp;"～"&amp;直管換算表!F31)</f>
        <v/>
      </c>
      <c r="D23" s="9"/>
      <c r="E23" s="10"/>
      <c r="F23" s="80" t="str">
        <f t="shared" si="5"/>
        <v/>
      </c>
      <c r="G23" s="134"/>
      <c r="H23" s="81" t="str">
        <f t="shared" si="0"/>
        <v/>
      </c>
      <c r="I23" s="82" t="str">
        <f t="shared" si="6"/>
        <v/>
      </c>
      <c r="J23" s="80" t="str">
        <f t="shared" si="7"/>
        <v/>
      </c>
      <c r="K23" s="16"/>
      <c r="L23" s="5"/>
      <c r="M23" s="17"/>
      <c r="N23" s="83" t="str">
        <f t="shared" si="8"/>
        <v/>
      </c>
      <c r="O23" s="84" t="str">
        <f>IF(H23="","",SUM($H$9:H23))</f>
        <v/>
      </c>
      <c r="P23" s="82" t="str">
        <f t="shared" si="9"/>
        <v/>
      </c>
      <c r="Q23" s="83" t="str">
        <f t="shared" si="1"/>
        <v/>
      </c>
      <c r="R23" s="82" t="str">
        <f t="shared" si="2"/>
        <v/>
      </c>
      <c r="S23" s="85" t="str">
        <f t="shared" si="10"/>
        <v/>
      </c>
      <c r="T23" s="85" t="str">
        <f t="shared" si="11"/>
        <v/>
      </c>
      <c r="U23" s="86"/>
      <c r="V23" s="49"/>
      <c r="W23" s="50"/>
      <c r="X23" s="40"/>
      <c r="Y23" s="82" t="str">
        <f t="shared" si="3"/>
        <v/>
      </c>
      <c r="Z23" s="85" t="str">
        <f t="shared" si="12"/>
        <v/>
      </c>
      <c r="AA23" s="82" t="str">
        <f t="shared" si="4"/>
        <v/>
      </c>
      <c r="AB23" s="85" t="str">
        <f t="shared" si="13"/>
        <v/>
      </c>
      <c r="AO23" s="54"/>
    </row>
    <row r="24" spans="2:46" s="88" customFormat="1" ht="24.95" customHeight="1" x14ac:dyDescent="0.15">
      <c r="B24" s="78">
        <v>16</v>
      </c>
      <c r="C24" s="79" t="str">
        <f>IF(AND(D24="",G24=""),"",直管換算表!F31&amp;"～"&amp;直管換算表!F32)</f>
        <v/>
      </c>
      <c r="D24" s="9"/>
      <c r="E24" s="10"/>
      <c r="F24" s="80" t="str">
        <f t="shared" si="5"/>
        <v/>
      </c>
      <c r="G24" s="134"/>
      <c r="H24" s="81" t="str">
        <f t="shared" si="0"/>
        <v/>
      </c>
      <c r="I24" s="82" t="str">
        <f t="shared" si="6"/>
        <v/>
      </c>
      <c r="J24" s="80" t="str">
        <f t="shared" si="7"/>
        <v/>
      </c>
      <c r="K24" s="16"/>
      <c r="L24" s="5"/>
      <c r="M24" s="17"/>
      <c r="N24" s="83" t="str">
        <f t="shared" si="8"/>
        <v/>
      </c>
      <c r="O24" s="84" t="str">
        <f>IF(H24="","",SUM($H$9:H24))</f>
        <v/>
      </c>
      <c r="P24" s="82" t="str">
        <f t="shared" si="9"/>
        <v/>
      </c>
      <c r="Q24" s="83" t="str">
        <f t="shared" si="1"/>
        <v/>
      </c>
      <c r="R24" s="82" t="str">
        <f t="shared" si="2"/>
        <v/>
      </c>
      <c r="S24" s="85" t="str">
        <f t="shared" si="10"/>
        <v/>
      </c>
      <c r="T24" s="85" t="str">
        <f t="shared" si="11"/>
        <v/>
      </c>
      <c r="U24" s="86"/>
      <c r="V24" s="49"/>
      <c r="W24" s="50"/>
      <c r="X24" s="40"/>
      <c r="Y24" s="82" t="str">
        <f t="shared" si="3"/>
        <v/>
      </c>
      <c r="Z24" s="85" t="str">
        <f t="shared" si="12"/>
        <v/>
      </c>
      <c r="AA24" s="82" t="str">
        <f t="shared" si="4"/>
        <v/>
      </c>
      <c r="AB24" s="85" t="str">
        <f t="shared" si="13"/>
        <v/>
      </c>
      <c r="AO24" s="54"/>
    </row>
    <row r="25" spans="2:46" s="88" customFormat="1" ht="24.95" customHeight="1" x14ac:dyDescent="0.15">
      <c r="B25" s="78">
        <v>17</v>
      </c>
      <c r="C25" s="79" t="str">
        <f>IF(AND(D25="",G25=""),"",直管換算表!F32&amp;"～"&amp;直管換算表!F33)</f>
        <v/>
      </c>
      <c r="D25" s="9"/>
      <c r="E25" s="10"/>
      <c r="F25" s="80" t="str">
        <f t="shared" si="5"/>
        <v/>
      </c>
      <c r="G25" s="134"/>
      <c r="H25" s="81" t="str">
        <f t="shared" si="0"/>
        <v/>
      </c>
      <c r="I25" s="82" t="str">
        <f t="shared" si="6"/>
        <v/>
      </c>
      <c r="J25" s="80" t="str">
        <f t="shared" si="7"/>
        <v/>
      </c>
      <c r="K25" s="16"/>
      <c r="L25" s="5"/>
      <c r="M25" s="17"/>
      <c r="N25" s="83" t="str">
        <f t="shared" si="8"/>
        <v/>
      </c>
      <c r="O25" s="84" t="str">
        <f>IF(H25="","",SUM($H$9:H25))</f>
        <v/>
      </c>
      <c r="P25" s="82" t="str">
        <f t="shared" si="9"/>
        <v/>
      </c>
      <c r="Q25" s="83" t="str">
        <f t="shared" si="1"/>
        <v/>
      </c>
      <c r="R25" s="82" t="str">
        <f t="shared" si="2"/>
        <v/>
      </c>
      <c r="S25" s="85" t="str">
        <f t="shared" si="10"/>
        <v/>
      </c>
      <c r="T25" s="85" t="str">
        <f t="shared" si="11"/>
        <v/>
      </c>
      <c r="U25" s="86"/>
      <c r="V25" s="49"/>
      <c r="W25" s="50"/>
      <c r="X25" s="40"/>
      <c r="Y25" s="82" t="str">
        <f t="shared" si="3"/>
        <v/>
      </c>
      <c r="Z25" s="85" t="str">
        <f t="shared" si="12"/>
        <v/>
      </c>
      <c r="AA25" s="82" t="str">
        <f t="shared" si="4"/>
        <v/>
      </c>
      <c r="AB25" s="85" t="str">
        <f t="shared" si="13"/>
        <v/>
      </c>
      <c r="AO25" s="54"/>
    </row>
    <row r="26" spans="2:46" s="88" customFormat="1" ht="24.95" customHeight="1" x14ac:dyDescent="0.15">
      <c r="B26" s="78">
        <v>18</v>
      </c>
      <c r="C26" s="79" t="str">
        <f>IF(AND(D26="",G26=""),"",直管換算表!F33&amp;"～"&amp;直管換算表!F34)</f>
        <v/>
      </c>
      <c r="D26" s="9"/>
      <c r="E26" s="10"/>
      <c r="F26" s="80" t="str">
        <f t="shared" si="5"/>
        <v/>
      </c>
      <c r="G26" s="134"/>
      <c r="H26" s="81" t="str">
        <f t="shared" si="0"/>
        <v/>
      </c>
      <c r="I26" s="82" t="str">
        <f t="shared" si="6"/>
        <v/>
      </c>
      <c r="J26" s="80" t="str">
        <f t="shared" si="7"/>
        <v/>
      </c>
      <c r="K26" s="16"/>
      <c r="L26" s="5"/>
      <c r="M26" s="17"/>
      <c r="N26" s="83" t="str">
        <f t="shared" si="8"/>
        <v/>
      </c>
      <c r="O26" s="84" t="str">
        <f>IF(H26="","",SUM($H$9:H26))</f>
        <v/>
      </c>
      <c r="P26" s="82" t="str">
        <f t="shared" si="9"/>
        <v/>
      </c>
      <c r="Q26" s="83" t="str">
        <f t="shared" si="1"/>
        <v/>
      </c>
      <c r="R26" s="82" t="str">
        <f t="shared" si="2"/>
        <v/>
      </c>
      <c r="S26" s="85" t="str">
        <f t="shared" si="10"/>
        <v/>
      </c>
      <c r="T26" s="85" t="str">
        <f t="shared" si="11"/>
        <v/>
      </c>
      <c r="U26" s="86"/>
      <c r="V26" s="49"/>
      <c r="W26" s="50"/>
      <c r="X26" s="40"/>
      <c r="Y26" s="82" t="str">
        <f t="shared" si="3"/>
        <v/>
      </c>
      <c r="Z26" s="85" t="str">
        <f t="shared" si="12"/>
        <v/>
      </c>
      <c r="AA26" s="82" t="str">
        <f t="shared" si="4"/>
        <v/>
      </c>
      <c r="AB26" s="85" t="str">
        <f t="shared" si="13"/>
        <v/>
      </c>
      <c r="AO26" s="54"/>
    </row>
    <row r="27" spans="2:46" s="88" customFormat="1" ht="24.95" customHeight="1" x14ac:dyDescent="0.15">
      <c r="B27" s="78">
        <v>19</v>
      </c>
      <c r="C27" s="79" t="str">
        <f>IF(AND(D27="",G27=""),"",直管換算表!F34&amp;"～"&amp;直管換算表!F35)</f>
        <v/>
      </c>
      <c r="D27" s="9"/>
      <c r="E27" s="10"/>
      <c r="F27" s="80" t="str">
        <f t="shared" si="5"/>
        <v/>
      </c>
      <c r="G27" s="134"/>
      <c r="H27" s="81" t="str">
        <f t="shared" si="0"/>
        <v/>
      </c>
      <c r="I27" s="82" t="str">
        <f t="shared" si="6"/>
        <v/>
      </c>
      <c r="J27" s="80" t="str">
        <f t="shared" si="7"/>
        <v/>
      </c>
      <c r="K27" s="16"/>
      <c r="L27" s="5"/>
      <c r="M27" s="17"/>
      <c r="N27" s="83" t="str">
        <f t="shared" si="8"/>
        <v/>
      </c>
      <c r="O27" s="84" t="str">
        <f>IF(H27="","",SUM($H$9:H27))</f>
        <v/>
      </c>
      <c r="P27" s="82" t="str">
        <f t="shared" si="9"/>
        <v/>
      </c>
      <c r="Q27" s="83" t="str">
        <f t="shared" si="1"/>
        <v/>
      </c>
      <c r="R27" s="82" t="str">
        <f t="shared" si="2"/>
        <v/>
      </c>
      <c r="S27" s="85" t="str">
        <f t="shared" si="10"/>
        <v/>
      </c>
      <c r="T27" s="85" t="str">
        <f t="shared" si="11"/>
        <v/>
      </c>
      <c r="U27" s="86"/>
      <c r="V27" s="49"/>
      <c r="W27" s="50"/>
      <c r="X27" s="40"/>
      <c r="Y27" s="82" t="str">
        <f t="shared" si="3"/>
        <v/>
      </c>
      <c r="Z27" s="85" t="str">
        <f t="shared" si="12"/>
        <v/>
      </c>
      <c r="AA27" s="82" t="str">
        <f t="shared" si="4"/>
        <v/>
      </c>
      <c r="AB27" s="85" t="str">
        <f t="shared" si="13"/>
        <v/>
      </c>
      <c r="AO27" s="54"/>
    </row>
    <row r="28" spans="2:46" s="88" customFormat="1" ht="24.95" customHeight="1" thickBot="1" x14ac:dyDescent="0.2">
      <c r="B28" s="89">
        <v>20</v>
      </c>
      <c r="C28" s="90" t="str">
        <f>IF(AND(D28="",G28=""),"",直管換算表!F35&amp;"～"&amp;直管換算表!F36)</f>
        <v/>
      </c>
      <c r="D28" s="11"/>
      <c r="E28" s="13"/>
      <c r="F28" s="80" t="str">
        <f t="shared" si="5"/>
        <v/>
      </c>
      <c r="G28" s="135"/>
      <c r="H28" s="81" t="str">
        <f t="shared" si="0"/>
        <v/>
      </c>
      <c r="I28" s="91" t="str">
        <f t="shared" si="6"/>
        <v/>
      </c>
      <c r="J28" s="80" t="str">
        <f t="shared" si="7"/>
        <v/>
      </c>
      <c r="K28" s="18"/>
      <c r="L28" s="19"/>
      <c r="M28" s="20"/>
      <c r="N28" s="92" t="str">
        <f t="shared" si="8"/>
        <v/>
      </c>
      <c r="O28" s="93" t="str">
        <f>IF(H28="","",SUM($H$9:H28))</f>
        <v/>
      </c>
      <c r="P28" s="91" t="str">
        <f t="shared" si="9"/>
        <v/>
      </c>
      <c r="Q28" s="92" t="str">
        <f t="shared" si="1"/>
        <v/>
      </c>
      <c r="R28" s="91" t="str">
        <f t="shared" si="2"/>
        <v/>
      </c>
      <c r="S28" s="94" t="str">
        <f t="shared" si="10"/>
        <v/>
      </c>
      <c r="T28" s="94" t="str">
        <f t="shared" si="11"/>
        <v/>
      </c>
      <c r="U28" s="86"/>
      <c r="V28" s="49"/>
      <c r="W28" s="50"/>
      <c r="X28" s="40"/>
      <c r="Y28" s="82" t="str">
        <f t="shared" si="3"/>
        <v/>
      </c>
      <c r="Z28" s="85" t="str">
        <f t="shared" si="12"/>
        <v/>
      </c>
      <c r="AA28" s="82" t="str">
        <f t="shared" si="4"/>
        <v/>
      </c>
      <c r="AB28" s="85" t="str">
        <f t="shared" si="13"/>
        <v/>
      </c>
      <c r="AO28" s="54"/>
    </row>
    <row r="29" spans="2:46" s="107" customFormat="1" ht="24.95" customHeight="1" thickTop="1" x14ac:dyDescent="0.15">
      <c r="B29" s="268" t="s">
        <v>22</v>
      </c>
      <c r="C29" s="268"/>
      <c r="D29" s="95">
        <f>SUM(D9:D28)</f>
        <v>0</v>
      </c>
      <c r="E29" s="281"/>
      <c r="F29" s="282"/>
      <c r="G29" s="283"/>
      <c r="H29" s="96">
        <f>SUM(H9:H28)</f>
        <v>0</v>
      </c>
      <c r="I29" s="97">
        <f>SUM(I9:I28)</f>
        <v>0</v>
      </c>
      <c r="J29" s="98"/>
      <c r="K29" s="99">
        <f>SUM(K9:K28)</f>
        <v>0</v>
      </c>
      <c r="L29" s="100">
        <f>SUM(L9:L28)</f>
        <v>0</v>
      </c>
      <c r="M29" s="101"/>
      <c r="N29" s="102"/>
      <c r="O29" s="102"/>
      <c r="P29" s="102"/>
      <c r="Q29" s="102"/>
      <c r="R29" s="102"/>
      <c r="S29" s="102"/>
      <c r="T29" s="103">
        <f>SUM(T9:T28)</f>
        <v>0</v>
      </c>
      <c r="U29" s="104"/>
      <c r="V29" s="105"/>
      <c r="W29" s="106"/>
      <c r="AO29" s="108"/>
    </row>
    <row r="30" spans="2:46" ht="24.95" customHeight="1" x14ac:dyDescent="0.4">
      <c r="B30" s="109">
        <v>1</v>
      </c>
      <c r="C30" s="109">
        <v>2</v>
      </c>
      <c r="D30" s="109">
        <v>3</v>
      </c>
      <c r="E30" s="109">
        <v>4</v>
      </c>
      <c r="F30" s="109">
        <v>5</v>
      </c>
      <c r="G30" s="109">
        <v>6</v>
      </c>
      <c r="H30" s="109">
        <v>7</v>
      </c>
      <c r="I30" s="109">
        <v>8</v>
      </c>
      <c r="J30" s="109">
        <v>9</v>
      </c>
      <c r="K30" s="109">
        <v>10</v>
      </c>
      <c r="L30" s="109">
        <v>11</v>
      </c>
      <c r="M30" s="109">
        <v>12</v>
      </c>
      <c r="N30" s="109">
        <v>13</v>
      </c>
      <c r="O30" s="109">
        <v>14</v>
      </c>
      <c r="P30" s="109">
        <v>15</v>
      </c>
      <c r="Q30" s="109">
        <v>16</v>
      </c>
      <c r="R30" s="109">
        <v>17</v>
      </c>
      <c r="S30" s="109">
        <v>18</v>
      </c>
      <c r="T30" s="109">
        <v>19</v>
      </c>
      <c r="U30" s="110"/>
      <c r="V30" s="110"/>
      <c r="W30" s="110"/>
      <c r="X30" s="110"/>
      <c r="AB30" s="47"/>
      <c r="AC30" s="47"/>
      <c r="AD30" s="47"/>
      <c r="AE30" s="47"/>
      <c r="AK30" s="47"/>
      <c r="AS30" s="110"/>
      <c r="AT30" s="110"/>
    </row>
    <row r="31" spans="2:46" ht="24.95" customHeight="1" x14ac:dyDescent="0.2">
      <c r="B31" s="274" t="s">
        <v>28</v>
      </c>
      <c r="C31" s="274"/>
      <c r="D31" s="274"/>
      <c r="E31" s="274"/>
      <c r="Q31" s="111" t="s">
        <v>30</v>
      </c>
      <c r="AA31" s="47"/>
      <c r="AB31" s="112">
        <v>2</v>
      </c>
      <c r="AC31" s="112">
        <v>3</v>
      </c>
      <c r="AD31" s="112">
        <v>4</v>
      </c>
      <c r="AE31" s="112">
        <v>5</v>
      </c>
      <c r="AF31" s="112">
        <v>6</v>
      </c>
      <c r="AG31" s="112">
        <v>7</v>
      </c>
      <c r="AH31" s="112">
        <v>8</v>
      </c>
      <c r="AI31" s="112">
        <v>9</v>
      </c>
      <c r="AJ31" s="112">
        <v>10</v>
      </c>
      <c r="AK31" s="112">
        <v>11</v>
      </c>
      <c r="AL31" s="112">
        <v>12</v>
      </c>
      <c r="AM31" s="112">
        <v>13</v>
      </c>
      <c r="AN31" s="112">
        <v>14</v>
      </c>
    </row>
    <row r="32" spans="2:46" s="66" customFormat="1" ht="45" x14ac:dyDescent="0.4">
      <c r="B32" s="271" t="s">
        <v>12</v>
      </c>
      <c r="C32" s="271" t="s">
        <v>11</v>
      </c>
      <c r="D32" s="59" t="s">
        <v>72</v>
      </c>
      <c r="E32" s="266" t="s">
        <v>4</v>
      </c>
      <c r="F32" s="266" t="s">
        <v>35</v>
      </c>
      <c r="G32" s="266" t="s">
        <v>76</v>
      </c>
      <c r="H32" s="266" t="s">
        <v>73</v>
      </c>
      <c r="I32" s="266" t="s">
        <v>113</v>
      </c>
      <c r="J32" s="266" t="s">
        <v>38</v>
      </c>
      <c r="K32" s="266" t="s">
        <v>36</v>
      </c>
      <c r="L32" s="266" t="s">
        <v>37</v>
      </c>
      <c r="M32" s="266" t="s">
        <v>87</v>
      </c>
      <c r="N32" s="266" t="s">
        <v>88</v>
      </c>
      <c r="O32" s="267" t="s">
        <v>8</v>
      </c>
      <c r="P32" s="266" t="s">
        <v>85</v>
      </c>
      <c r="Q32" s="266" t="s">
        <v>86</v>
      </c>
      <c r="R32" s="59" t="s">
        <v>27</v>
      </c>
      <c r="S32" s="113" t="s">
        <v>23</v>
      </c>
      <c r="T32" s="61" t="s">
        <v>34</v>
      </c>
      <c r="U32" s="127" t="s">
        <v>83</v>
      </c>
      <c r="V32" s="127" t="s">
        <v>84</v>
      </c>
      <c r="Y32" s="271" t="s">
        <v>11</v>
      </c>
      <c r="Z32" s="59" t="s">
        <v>25</v>
      </c>
      <c r="AA32" s="266" t="s">
        <v>4</v>
      </c>
      <c r="AB32" s="266" t="s">
        <v>35</v>
      </c>
      <c r="AC32" s="266" t="s">
        <v>5</v>
      </c>
      <c r="AD32" s="266" t="s">
        <v>73</v>
      </c>
      <c r="AE32" s="267" t="s">
        <v>6</v>
      </c>
      <c r="AF32" s="267" t="s">
        <v>7</v>
      </c>
      <c r="AG32" s="266" t="s">
        <v>36</v>
      </c>
      <c r="AH32" s="266" t="s">
        <v>37</v>
      </c>
      <c r="AI32" s="266" t="s">
        <v>87</v>
      </c>
      <c r="AJ32" s="266" t="s">
        <v>88</v>
      </c>
      <c r="AK32" s="267" t="s">
        <v>8</v>
      </c>
      <c r="AL32" s="266" t="s">
        <v>85</v>
      </c>
      <c r="AM32" s="266" t="s">
        <v>86</v>
      </c>
      <c r="AN32" s="59" t="s">
        <v>27</v>
      </c>
      <c r="AP32" s="64"/>
    </row>
    <row r="33" spans="2:42" s="66" customFormat="1" ht="24.95" customHeight="1" thickBot="1" x14ac:dyDescent="0.45">
      <c r="B33" s="271"/>
      <c r="C33" s="271"/>
      <c r="D33" s="74" t="s">
        <v>20</v>
      </c>
      <c r="E33" s="270"/>
      <c r="F33" s="270"/>
      <c r="G33" s="270"/>
      <c r="H33" s="270" t="s">
        <v>33</v>
      </c>
      <c r="I33" s="269"/>
      <c r="J33" s="269"/>
      <c r="K33" s="269"/>
      <c r="L33" s="269"/>
      <c r="M33" s="270"/>
      <c r="N33" s="270"/>
      <c r="O33" s="269"/>
      <c r="P33" s="270"/>
      <c r="Q33" s="270"/>
      <c r="R33" s="74" t="s">
        <v>17</v>
      </c>
      <c r="S33" s="114" t="s">
        <v>17</v>
      </c>
      <c r="T33" s="71" t="s">
        <v>17</v>
      </c>
      <c r="U33" s="128" t="s">
        <v>17</v>
      </c>
      <c r="V33" s="128" t="s">
        <v>19</v>
      </c>
      <c r="Y33" s="271"/>
      <c r="Z33" s="74" t="s">
        <v>20</v>
      </c>
      <c r="AA33" s="266"/>
      <c r="AB33" s="266"/>
      <c r="AC33" s="266"/>
      <c r="AD33" s="266"/>
      <c r="AE33" s="267"/>
      <c r="AF33" s="267"/>
      <c r="AG33" s="267"/>
      <c r="AH33" s="267"/>
      <c r="AI33" s="266"/>
      <c r="AJ33" s="266"/>
      <c r="AK33" s="267"/>
      <c r="AL33" s="266"/>
      <c r="AM33" s="266"/>
      <c r="AN33" s="74" t="s">
        <v>17</v>
      </c>
      <c r="AP33" s="65"/>
    </row>
    <row r="34" spans="2:42" ht="24.95" customHeight="1" thickTop="1" x14ac:dyDescent="0.15">
      <c r="B34" s="78">
        <v>1</v>
      </c>
      <c r="C34" s="115" t="str">
        <f t="shared" ref="C34:C53" si="14">C9</f>
        <v/>
      </c>
      <c r="D34" s="79" t="str">
        <f t="shared" ref="D34:D53" si="15">IF(M9="","",M9)</f>
        <v/>
      </c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1" t="str">
        <f t="shared" ref="R34:R53" si="16">AN34</f>
        <v/>
      </c>
      <c r="S34" s="116" t="str">
        <f t="shared" ref="S34:S53" si="17">IFERROR(R34*R9,"")</f>
        <v/>
      </c>
      <c r="T34" s="83" t="str">
        <f>IFERROR(T9+S34,"")</f>
        <v/>
      </c>
      <c r="U34" s="139" t="str">
        <f>IFERROR(L9+T34,"")</f>
        <v/>
      </c>
      <c r="V34" s="129" t="str">
        <f>IFERROR(U34*9800/1000000,"")</f>
        <v/>
      </c>
      <c r="Y34" s="115" t="str">
        <f t="shared" ref="Y34:Y53" si="18">C34</f>
        <v/>
      </c>
      <c r="Z34" s="115" t="str">
        <f t="shared" ref="Z34:Z53" si="19">D34</f>
        <v/>
      </c>
      <c r="AA34" s="84" t="str">
        <f>IF(E34="","",VLOOKUP($D34,直管換算表!$A$3:$N$11,水理計算シート!AB$31,FALSE)*水理計算シート!E34)</f>
        <v/>
      </c>
      <c r="AB34" s="84" t="str">
        <f>IF(F34="","",VLOOKUP($D34,直管換算表!$A$3:$N$11,水理計算シート!AC$31,FALSE)*水理計算シート!F34)</f>
        <v/>
      </c>
      <c r="AC34" s="84" t="str">
        <f>IF(G34="","",VLOOKUP($D34,直管換算表!$A$3:$N$11,水理計算シート!AD$31,FALSE)*水理計算シート!G34)</f>
        <v/>
      </c>
      <c r="AD34" s="84" t="str">
        <f>IF(H34="","",VLOOKUP($D34,直管換算表!$A$3:$N$11,水理計算シート!AE$31,FALSE)*水理計算シート!H34)</f>
        <v/>
      </c>
      <c r="AE34" s="84" t="str">
        <f>IF(I34="","",VLOOKUP($D34,直管換算表!$A$3:$N$11,水理計算シート!AF$31,FALSE)*水理計算シート!I34)</f>
        <v/>
      </c>
      <c r="AF34" s="84" t="str">
        <f>IF(J34="","",VLOOKUP($D34,直管換算表!$A$3:$N$11,水理計算シート!AG$31,FALSE)*水理計算シート!J34)</f>
        <v/>
      </c>
      <c r="AG34" s="84" t="str">
        <f>IF(K34="","",VLOOKUP($D34,直管換算表!$A$3:$N$11,水理計算シート!AH$31,FALSE)*水理計算シート!K34)</f>
        <v/>
      </c>
      <c r="AH34" s="84" t="str">
        <f>IF(L34="","",VLOOKUP($D34,直管換算表!$A$3:$N$11,水理計算シート!AI$31,FALSE)*水理計算シート!L34)</f>
        <v/>
      </c>
      <c r="AI34" s="84" t="str">
        <f>IF(M34="","",VLOOKUP($D34,直管換算表!$A$3:$N$11,水理計算シート!AJ$31,FALSE)*水理計算シート!M34)</f>
        <v/>
      </c>
      <c r="AJ34" s="84" t="str">
        <f>IF(N34="","",VLOOKUP($D34,直管換算表!$A$3:$N$11,水理計算シート!AK$31,FALSE)*水理計算シート!N34)</f>
        <v/>
      </c>
      <c r="AK34" s="84" t="str">
        <f>IF(O34="","",VLOOKUP($D34,直管換算表!$A$3:$N$11,水理計算シート!AL$31,FALSE)*水理計算シート!O34)</f>
        <v/>
      </c>
      <c r="AL34" s="84" t="str">
        <f>IF(P34="","",VLOOKUP($D34,直管換算表!$A$3:$N$11,水理計算シート!AM$31,FALSE)*水理計算シート!P34)</f>
        <v/>
      </c>
      <c r="AM34" s="84" t="str">
        <f>IF(Q34="","",VLOOKUP($D34,直管換算表!$A$3:$N$11,水理計算シート!AN$31,FALSE)*水理計算シート!Q34)</f>
        <v/>
      </c>
      <c r="AN34" s="84" t="str">
        <f t="shared" ref="AN34:AN53" si="20">IF(Z34="","",SUM(AA34:AM34))</f>
        <v/>
      </c>
      <c r="AP34" s="117"/>
    </row>
    <row r="35" spans="2:42" ht="24.95" customHeight="1" x14ac:dyDescent="0.15">
      <c r="B35" s="78">
        <v>2</v>
      </c>
      <c r="C35" s="115" t="str">
        <f t="shared" si="14"/>
        <v/>
      </c>
      <c r="D35" s="79" t="str">
        <f t="shared" si="15"/>
        <v/>
      </c>
      <c r="E35" s="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0"/>
      <c r="R35" s="81" t="str">
        <f t="shared" si="16"/>
        <v/>
      </c>
      <c r="S35" s="116" t="str">
        <f t="shared" si="17"/>
        <v/>
      </c>
      <c r="T35" s="83" t="str">
        <f t="shared" ref="T35:T53" si="21">IFERROR(T10+S35,"")</f>
        <v/>
      </c>
      <c r="U35" s="139" t="str">
        <f t="shared" ref="U35:U53" si="22">IFERROR(L10+T35,"")</f>
        <v/>
      </c>
      <c r="V35" s="129" t="str">
        <f t="shared" ref="V35:V53" si="23">IFERROR(U35*9800/1000000,"")</f>
        <v/>
      </c>
      <c r="Y35" s="115" t="str">
        <f t="shared" si="18"/>
        <v/>
      </c>
      <c r="Z35" s="115" t="str">
        <f t="shared" si="19"/>
        <v/>
      </c>
      <c r="AA35" s="84" t="str">
        <f>IF(E35="","",VLOOKUP($D35,直管換算表!$A$3:$N$11,水理計算シート!AB$31,FALSE)*水理計算シート!E35)</f>
        <v/>
      </c>
      <c r="AB35" s="84" t="str">
        <f>IF(F35="","",VLOOKUP($D35,直管換算表!$A$3:$N$11,水理計算シート!AC$31,FALSE)*水理計算シート!F35)</f>
        <v/>
      </c>
      <c r="AC35" s="84" t="str">
        <f>IF(G35="","",VLOOKUP($D35,直管換算表!$A$3:$N$11,水理計算シート!AD$31,FALSE)*水理計算シート!G35)</f>
        <v/>
      </c>
      <c r="AD35" s="84" t="str">
        <f>IF(H35="","",VLOOKUP($D35,直管換算表!$A$3:$N$11,水理計算シート!AE$31,FALSE)*水理計算シート!H35)</f>
        <v/>
      </c>
      <c r="AE35" s="84" t="str">
        <f>IF(I35="","",VLOOKUP($D35,直管換算表!$A$3:$N$11,水理計算シート!AF$31,FALSE)*水理計算シート!I35)</f>
        <v/>
      </c>
      <c r="AF35" s="84" t="str">
        <f>IF(J35="","",VLOOKUP($D35,直管換算表!$A$3:$N$11,水理計算シート!AG$31,FALSE)*水理計算シート!J35)</f>
        <v/>
      </c>
      <c r="AG35" s="84" t="str">
        <f>IF(K35="","",VLOOKUP($D35,直管換算表!$A$3:$N$11,水理計算シート!AH$31,FALSE)*水理計算シート!K35)</f>
        <v/>
      </c>
      <c r="AH35" s="84" t="str">
        <f>IF(L35="","",VLOOKUP($D35,直管換算表!$A$3:$N$11,水理計算シート!AI$31,FALSE)*水理計算シート!L35)</f>
        <v/>
      </c>
      <c r="AI35" s="84" t="str">
        <f>IF(M35="","",VLOOKUP($D35,直管換算表!$A$3:$N$11,水理計算シート!AJ$31,FALSE)*水理計算シート!M35)</f>
        <v/>
      </c>
      <c r="AJ35" s="84" t="str">
        <f>IF(N35="","",VLOOKUP($D35,直管換算表!$A$3:$N$11,水理計算シート!AK$31,FALSE)*水理計算シート!N35)</f>
        <v/>
      </c>
      <c r="AK35" s="84" t="str">
        <f>IF(O35="","",VLOOKUP($D35,直管換算表!$A$3:$N$11,水理計算シート!AL$31,FALSE)*水理計算シート!O35)</f>
        <v/>
      </c>
      <c r="AL35" s="84" t="str">
        <f>IF(P35="","",VLOOKUP($D35,直管換算表!$A$3:$N$11,水理計算シート!AM$31,FALSE)*水理計算シート!P35)</f>
        <v/>
      </c>
      <c r="AM35" s="84" t="str">
        <f>IF(Q35="","",VLOOKUP($D35,直管換算表!$A$3:$N$11,水理計算シート!AN$31,FALSE)*水理計算シート!Q35)</f>
        <v/>
      </c>
      <c r="AN35" s="84" t="str">
        <f t="shared" si="20"/>
        <v/>
      </c>
      <c r="AP35" s="117"/>
    </row>
    <row r="36" spans="2:42" ht="24.95" customHeight="1" x14ac:dyDescent="0.15">
      <c r="B36" s="78">
        <v>3</v>
      </c>
      <c r="C36" s="115" t="str">
        <f t="shared" si="14"/>
        <v/>
      </c>
      <c r="D36" s="79" t="str">
        <f t="shared" si="15"/>
        <v/>
      </c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0"/>
      <c r="R36" s="81" t="str">
        <f t="shared" si="16"/>
        <v/>
      </c>
      <c r="S36" s="116" t="str">
        <f t="shared" si="17"/>
        <v/>
      </c>
      <c r="T36" s="83" t="str">
        <f t="shared" si="21"/>
        <v/>
      </c>
      <c r="U36" s="139" t="str">
        <f t="shared" si="22"/>
        <v/>
      </c>
      <c r="V36" s="129" t="str">
        <f t="shared" si="23"/>
        <v/>
      </c>
      <c r="Y36" s="115" t="str">
        <f t="shared" si="18"/>
        <v/>
      </c>
      <c r="Z36" s="115" t="str">
        <f t="shared" si="19"/>
        <v/>
      </c>
      <c r="AA36" s="84" t="str">
        <f>IF(E36="","",VLOOKUP($D36,直管換算表!$A$3:$N$11,水理計算シート!AB$31,FALSE)*水理計算シート!E36)</f>
        <v/>
      </c>
      <c r="AB36" s="84" t="str">
        <f>IF(F36="","",VLOOKUP($D36,直管換算表!$A$3:$N$11,水理計算シート!AC$31,FALSE)*水理計算シート!F36)</f>
        <v/>
      </c>
      <c r="AC36" s="84" t="str">
        <f>IF(G36="","",VLOOKUP($D36,直管換算表!$A$3:$N$11,水理計算シート!AD$31,FALSE)*水理計算シート!G36)</f>
        <v/>
      </c>
      <c r="AD36" s="84" t="str">
        <f>IF(H36="","",VLOOKUP($D36,直管換算表!$A$3:$N$11,水理計算シート!AE$31,FALSE)*水理計算シート!H36)</f>
        <v/>
      </c>
      <c r="AE36" s="84" t="str">
        <f>IF(I36="","",VLOOKUP($D36,直管換算表!$A$3:$N$11,水理計算シート!AF$31,FALSE)*水理計算シート!I36)</f>
        <v/>
      </c>
      <c r="AF36" s="84" t="str">
        <f>IF(J36="","",VLOOKUP($D36,直管換算表!$A$3:$N$11,水理計算シート!AG$31,FALSE)*水理計算シート!J36)</f>
        <v/>
      </c>
      <c r="AG36" s="84" t="str">
        <f>IF(K36="","",VLOOKUP($D36,直管換算表!$A$3:$N$11,水理計算シート!AH$31,FALSE)*水理計算シート!K36)</f>
        <v/>
      </c>
      <c r="AH36" s="84" t="str">
        <f>IF(L36="","",VLOOKUP($D36,直管換算表!$A$3:$N$11,水理計算シート!AI$31,FALSE)*水理計算シート!L36)</f>
        <v/>
      </c>
      <c r="AI36" s="84" t="str">
        <f>IF(M36="","",VLOOKUP($D36,直管換算表!$A$3:$N$11,水理計算シート!AJ$31,FALSE)*水理計算シート!M36)</f>
        <v/>
      </c>
      <c r="AJ36" s="84" t="str">
        <f>IF(N36="","",VLOOKUP($D36,直管換算表!$A$3:$N$11,水理計算シート!AK$31,FALSE)*水理計算シート!N36)</f>
        <v/>
      </c>
      <c r="AK36" s="84" t="str">
        <f>IF(O36="","",VLOOKUP($D36,直管換算表!$A$3:$N$11,水理計算シート!AL$31,FALSE)*水理計算シート!O36)</f>
        <v/>
      </c>
      <c r="AL36" s="84" t="str">
        <f>IF(P36="","",VLOOKUP($D36,直管換算表!$A$3:$N$11,水理計算シート!AM$31,FALSE)*水理計算シート!P36)</f>
        <v/>
      </c>
      <c r="AM36" s="84" t="str">
        <f>IF(Q36="","",VLOOKUP($D36,直管換算表!$A$3:$N$11,水理計算シート!AN$31,FALSE)*水理計算シート!Q36)</f>
        <v/>
      </c>
      <c r="AN36" s="84" t="str">
        <f t="shared" si="20"/>
        <v/>
      </c>
      <c r="AP36" s="117"/>
    </row>
    <row r="37" spans="2:42" ht="24.95" customHeight="1" x14ac:dyDescent="0.15">
      <c r="B37" s="78">
        <v>4</v>
      </c>
      <c r="C37" s="115" t="str">
        <f t="shared" si="14"/>
        <v/>
      </c>
      <c r="D37" s="79" t="str">
        <f t="shared" si="15"/>
        <v/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0"/>
      <c r="R37" s="81" t="str">
        <f t="shared" si="16"/>
        <v/>
      </c>
      <c r="S37" s="116" t="str">
        <f t="shared" si="17"/>
        <v/>
      </c>
      <c r="T37" s="83" t="str">
        <f t="shared" si="21"/>
        <v/>
      </c>
      <c r="U37" s="139" t="str">
        <f t="shared" si="22"/>
        <v/>
      </c>
      <c r="V37" s="129" t="str">
        <f t="shared" si="23"/>
        <v/>
      </c>
      <c r="Y37" s="115" t="str">
        <f t="shared" si="18"/>
        <v/>
      </c>
      <c r="Z37" s="115" t="str">
        <f t="shared" si="19"/>
        <v/>
      </c>
      <c r="AA37" s="84" t="str">
        <f>IF(E37="","",VLOOKUP($D37,直管換算表!$A$3:$N$11,水理計算シート!AB$31,FALSE)*水理計算シート!E37)</f>
        <v/>
      </c>
      <c r="AB37" s="84" t="str">
        <f>IF(F37="","",VLOOKUP($D37,直管換算表!$A$3:$N$11,水理計算シート!AC$31,FALSE)*水理計算シート!F37)</f>
        <v/>
      </c>
      <c r="AC37" s="84" t="str">
        <f>IF(G37="","",VLOOKUP($D37,直管換算表!$A$3:$N$11,水理計算シート!AD$31,FALSE)*水理計算シート!G37)</f>
        <v/>
      </c>
      <c r="AD37" s="84" t="str">
        <f>IF(H37="","",VLOOKUP($D37,直管換算表!$A$3:$N$11,水理計算シート!AE$31,FALSE)*水理計算シート!H37)</f>
        <v/>
      </c>
      <c r="AE37" s="84" t="str">
        <f>IF(I37="","",VLOOKUP($D37,直管換算表!$A$3:$N$11,水理計算シート!AF$31,FALSE)*水理計算シート!I37)</f>
        <v/>
      </c>
      <c r="AF37" s="84" t="str">
        <f>IF(J37="","",VLOOKUP($D37,直管換算表!$A$3:$N$11,水理計算シート!AG$31,FALSE)*水理計算シート!J37)</f>
        <v/>
      </c>
      <c r="AG37" s="84" t="str">
        <f>IF(K37="","",VLOOKUP($D37,直管換算表!$A$3:$N$11,水理計算シート!AH$31,FALSE)*水理計算シート!K37)</f>
        <v/>
      </c>
      <c r="AH37" s="84" t="str">
        <f>IF(L37="","",VLOOKUP($D37,直管換算表!$A$3:$N$11,水理計算シート!AI$31,FALSE)*水理計算シート!L37)</f>
        <v/>
      </c>
      <c r="AI37" s="84" t="str">
        <f>IF(M37="","",VLOOKUP($D37,直管換算表!$A$3:$N$11,水理計算シート!AJ$31,FALSE)*水理計算シート!M37)</f>
        <v/>
      </c>
      <c r="AJ37" s="84" t="str">
        <f>IF(N37="","",VLOOKUP($D37,直管換算表!$A$3:$N$11,水理計算シート!AK$31,FALSE)*水理計算シート!N37)</f>
        <v/>
      </c>
      <c r="AK37" s="84" t="str">
        <f>IF(O37="","",VLOOKUP($D37,直管換算表!$A$3:$N$11,水理計算シート!AL$31,FALSE)*水理計算シート!O37)</f>
        <v/>
      </c>
      <c r="AL37" s="84" t="str">
        <f>IF(P37="","",VLOOKUP($D37,直管換算表!$A$3:$N$11,水理計算シート!AM$31,FALSE)*水理計算シート!P37)</f>
        <v/>
      </c>
      <c r="AM37" s="84" t="str">
        <f>IF(Q37="","",VLOOKUP($D37,直管換算表!$A$3:$N$11,水理計算シート!AN$31,FALSE)*水理計算シート!Q37)</f>
        <v/>
      </c>
      <c r="AN37" s="84" t="str">
        <f t="shared" si="20"/>
        <v/>
      </c>
      <c r="AP37" s="117"/>
    </row>
    <row r="38" spans="2:42" ht="24.95" customHeight="1" x14ac:dyDescent="0.15">
      <c r="B38" s="78">
        <v>5</v>
      </c>
      <c r="C38" s="115" t="str">
        <f t="shared" si="14"/>
        <v/>
      </c>
      <c r="D38" s="79" t="str">
        <f t="shared" si="15"/>
        <v/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0"/>
      <c r="R38" s="81" t="str">
        <f t="shared" si="16"/>
        <v/>
      </c>
      <c r="S38" s="116" t="str">
        <f t="shared" si="17"/>
        <v/>
      </c>
      <c r="T38" s="83" t="str">
        <f t="shared" si="21"/>
        <v/>
      </c>
      <c r="U38" s="139" t="str">
        <f t="shared" si="22"/>
        <v/>
      </c>
      <c r="V38" s="129" t="str">
        <f t="shared" si="23"/>
        <v/>
      </c>
      <c r="Y38" s="115" t="str">
        <f t="shared" si="18"/>
        <v/>
      </c>
      <c r="Z38" s="115" t="str">
        <f t="shared" si="19"/>
        <v/>
      </c>
      <c r="AA38" s="84" t="str">
        <f>IF(E38="","",VLOOKUP($D38,直管換算表!$A$3:$N$11,水理計算シート!AB$31,FALSE)*水理計算シート!E38)</f>
        <v/>
      </c>
      <c r="AB38" s="84" t="str">
        <f>IF(F38="","",VLOOKUP($D38,直管換算表!$A$3:$N$11,水理計算シート!AC$31,FALSE)*水理計算シート!F38)</f>
        <v/>
      </c>
      <c r="AC38" s="84" t="str">
        <f>IF(G38="","",VLOOKUP($D38,直管換算表!$A$3:$N$11,水理計算シート!AD$31,FALSE)*水理計算シート!G38)</f>
        <v/>
      </c>
      <c r="AD38" s="84" t="str">
        <f>IF(H38="","",VLOOKUP($D38,直管換算表!$A$3:$N$11,水理計算シート!AE$31,FALSE)*水理計算シート!H38)</f>
        <v/>
      </c>
      <c r="AE38" s="84" t="str">
        <f>IF(I38="","",VLOOKUP($D38,直管換算表!$A$3:$N$11,水理計算シート!AF$31,FALSE)*水理計算シート!I38)</f>
        <v/>
      </c>
      <c r="AF38" s="84" t="str">
        <f>IF(J38="","",VLOOKUP($D38,直管換算表!$A$3:$N$11,水理計算シート!AG$31,FALSE)*水理計算シート!J38)</f>
        <v/>
      </c>
      <c r="AG38" s="84" t="str">
        <f>IF(K38="","",VLOOKUP($D38,直管換算表!$A$3:$N$11,水理計算シート!AH$31,FALSE)*水理計算シート!K38)</f>
        <v/>
      </c>
      <c r="AH38" s="84" t="str">
        <f>IF(L38="","",VLOOKUP($D38,直管換算表!$A$3:$N$11,水理計算シート!AI$31,FALSE)*水理計算シート!L38)</f>
        <v/>
      </c>
      <c r="AI38" s="84" t="str">
        <f>IF(M38="","",VLOOKUP($D38,直管換算表!$A$3:$N$11,水理計算シート!AJ$31,FALSE)*水理計算シート!M38)</f>
        <v/>
      </c>
      <c r="AJ38" s="84" t="str">
        <f>IF(N38="","",VLOOKUP($D38,直管換算表!$A$3:$N$11,水理計算シート!AK$31,FALSE)*水理計算シート!N38)</f>
        <v/>
      </c>
      <c r="AK38" s="84" t="str">
        <f>IF(O38="","",VLOOKUP($D38,直管換算表!$A$3:$N$11,水理計算シート!AL$31,FALSE)*水理計算シート!O38)</f>
        <v/>
      </c>
      <c r="AL38" s="84" t="str">
        <f>IF(P38="","",VLOOKUP($D38,直管換算表!$A$3:$N$11,水理計算シート!AM$31,FALSE)*水理計算シート!P38)</f>
        <v/>
      </c>
      <c r="AM38" s="84" t="str">
        <f>IF(Q38="","",VLOOKUP($D38,直管換算表!$A$3:$N$11,水理計算シート!AN$31,FALSE)*水理計算シート!Q38)</f>
        <v/>
      </c>
      <c r="AN38" s="84" t="str">
        <f t="shared" si="20"/>
        <v/>
      </c>
      <c r="AP38" s="117"/>
    </row>
    <row r="39" spans="2:42" ht="24.95" customHeight="1" x14ac:dyDescent="0.15">
      <c r="B39" s="78">
        <v>6</v>
      </c>
      <c r="C39" s="115" t="str">
        <f t="shared" si="14"/>
        <v/>
      </c>
      <c r="D39" s="79" t="str">
        <f t="shared" si="15"/>
        <v/>
      </c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0"/>
      <c r="R39" s="81" t="str">
        <f t="shared" si="16"/>
        <v/>
      </c>
      <c r="S39" s="116" t="str">
        <f t="shared" si="17"/>
        <v/>
      </c>
      <c r="T39" s="83" t="str">
        <f t="shared" si="21"/>
        <v/>
      </c>
      <c r="U39" s="139" t="str">
        <f t="shared" si="22"/>
        <v/>
      </c>
      <c r="V39" s="129" t="str">
        <f t="shared" si="23"/>
        <v/>
      </c>
      <c r="Y39" s="115" t="str">
        <f t="shared" si="18"/>
        <v/>
      </c>
      <c r="Z39" s="115" t="str">
        <f t="shared" si="19"/>
        <v/>
      </c>
      <c r="AA39" s="84" t="str">
        <f>IF(E39="","",VLOOKUP($D39,直管換算表!$A$3:$N$11,水理計算シート!AB$31,FALSE)*水理計算シート!E39)</f>
        <v/>
      </c>
      <c r="AB39" s="84" t="str">
        <f>IF(F39="","",VLOOKUP($D39,直管換算表!$A$3:$N$11,水理計算シート!AC$31,FALSE)*水理計算シート!F39)</f>
        <v/>
      </c>
      <c r="AC39" s="84" t="str">
        <f>IF(G39="","",VLOOKUP($D39,直管換算表!$A$3:$N$11,水理計算シート!AD$31,FALSE)*水理計算シート!G39)</f>
        <v/>
      </c>
      <c r="AD39" s="84" t="str">
        <f>IF(H39="","",VLOOKUP($D39,直管換算表!$A$3:$N$11,水理計算シート!AE$31,FALSE)*水理計算シート!H39)</f>
        <v/>
      </c>
      <c r="AE39" s="84" t="str">
        <f>IF(I39="","",VLOOKUP($D39,直管換算表!$A$3:$N$11,水理計算シート!AF$31,FALSE)*水理計算シート!I39)</f>
        <v/>
      </c>
      <c r="AF39" s="84" t="str">
        <f>IF(J39="","",VLOOKUP($D39,直管換算表!$A$3:$N$11,水理計算シート!AG$31,FALSE)*水理計算シート!J39)</f>
        <v/>
      </c>
      <c r="AG39" s="84" t="str">
        <f>IF(K39="","",VLOOKUP($D39,直管換算表!$A$3:$N$11,水理計算シート!AH$31,FALSE)*水理計算シート!K39)</f>
        <v/>
      </c>
      <c r="AH39" s="84" t="str">
        <f>IF(L39="","",VLOOKUP($D39,直管換算表!$A$3:$N$11,水理計算シート!AI$31,FALSE)*水理計算シート!L39)</f>
        <v/>
      </c>
      <c r="AI39" s="84" t="str">
        <f>IF(M39="","",VLOOKUP($D39,直管換算表!$A$3:$N$11,水理計算シート!AJ$31,FALSE)*水理計算シート!M39)</f>
        <v/>
      </c>
      <c r="AJ39" s="84" t="str">
        <f>IF(N39="","",VLOOKUP($D39,直管換算表!$A$3:$N$11,水理計算シート!AK$31,FALSE)*水理計算シート!N39)</f>
        <v/>
      </c>
      <c r="AK39" s="84" t="str">
        <f>IF(O39="","",VLOOKUP($D39,直管換算表!$A$3:$N$11,水理計算シート!AL$31,FALSE)*水理計算シート!O39)</f>
        <v/>
      </c>
      <c r="AL39" s="84" t="str">
        <f>IF(P39="","",VLOOKUP($D39,直管換算表!$A$3:$N$11,水理計算シート!AM$31,FALSE)*水理計算シート!P39)</f>
        <v/>
      </c>
      <c r="AM39" s="84" t="str">
        <f>IF(Q39="","",VLOOKUP($D39,直管換算表!$A$3:$N$11,水理計算シート!AN$31,FALSE)*水理計算シート!Q39)</f>
        <v/>
      </c>
      <c r="AN39" s="84" t="str">
        <f t="shared" si="20"/>
        <v/>
      </c>
      <c r="AP39" s="117"/>
    </row>
    <row r="40" spans="2:42" ht="24.95" customHeight="1" x14ac:dyDescent="0.15">
      <c r="B40" s="78">
        <v>7</v>
      </c>
      <c r="C40" s="115" t="str">
        <f t="shared" si="14"/>
        <v/>
      </c>
      <c r="D40" s="79" t="str">
        <f t="shared" si="15"/>
        <v/>
      </c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0"/>
      <c r="R40" s="81" t="str">
        <f t="shared" si="16"/>
        <v/>
      </c>
      <c r="S40" s="116" t="str">
        <f t="shared" si="17"/>
        <v/>
      </c>
      <c r="T40" s="83" t="str">
        <f t="shared" si="21"/>
        <v/>
      </c>
      <c r="U40" s="139" t="str">
        <f t="shared" si="22"/>
        <v/>
      </c>
      <c r="V40" s="129" t="str">
        <f t="shared" si="23"/>
        <v/>
      </c>
      <c r="Y40" s="115" t="str">
        <f t="shared" si="18"/>
        <v/>
      </c>
      <c r="Z40" s="115" t="str">
        <f t="shared" si="19"/>
        <v/>
      </c>
      <c r="AA40" s="84" t="str">
        <f>IF(E40="","",VLOOKUP($D40,直管換算表!$A$3:$N$11,水理計算シート!AB$31,FALSE)*水理計算シート!E40)</f>
        <v/>
      </c>
      <c r="AB40" s="84" t="str">
        <f>IF(F40="","",VLOOKUP($D40,直管換算表!$A$3:$N$11,水理計算シート!AC$31,FALSE)*水理計算シート!F40)</f>
        <v/>
      </c>
      <c r="AC40" s="84" t="str">
        <f>IF(G40="","",VLOOKUP($D40,直管換算表!$A$3:$N$11,水理計算シート!AD$31,FALSE)*水理計算シート!G40)</f>
        <v/>
      </c>
      <c r="AD40" s="84" t="str">
        <f>IF(H40="","",VLOOKUP($D40,直管換算表!$A$3:$N$11,水理計算シート!AE$31,FALSE)*水理計算シート!H40)</f>
        <v/>
      </c>
      <c r="AE40" s="84" t="str">
        <f>IF(I40="","",VLOOKUP($D40,直管換算表!$A$3:$N$11,水理計算シート!AF$31,FALSE)*水理計算シート!I40)</f>
        <v/>
      </c>
      <c r="AF40" s="84" t="str">
        <f>IF(J40="","",VLOOKUP($D40,直管換算表!$A$3:$N$11,水理計算シート!AG$31,FALSE)*水理計算シート!J40)</f>
        <v/>
      </c>
      <c r="AG40" s="84" t="str">
        <f>IF(K40="","",VLOOKUP($D40,直管換算表!$A$3:$N$11,水理計算シート!AH$31,FALSE)*水理計算シート!K40)</f>
        <v/>
      </c>
      <c r="AH40" s="84" t="str">
        <f>IF(L40="","",VLOOKUP($D40,直管換算表!$A$3:$N$11,水理計算シート!AI$31,FALSE)*水理計算シート!L40)</f>
        <v/>
      </c>
      <c r="AI40" s="84" t="str">
        <f>IF(M40="","",VLOOKUP($D40,直管換算表!$A$3:$N$11,水理計算シート!AJ$31,FALSE)*水理計算シート!M40)</f>
        <v/>
      </c>
      <c r="AJ40" s="84" t="str">
        <f>IF(N40="","",VLOOKUP($D40,直管換算表!$A$3:$N$11,水理計算シート!AK$31,FALSE)*水理計算シート!N40)</f>
        <v/>
      </c>
      <c r="AK40" s="84" t="str">
        <f>IF(O40="","",VLOOKUP($D40,直管換算表!$A$3:$N$11,水理計算シート!AL$31,FALSE)*水理計算シート!O40)</f>
        <v/>
      </c>
      <c r="AL40" s="84" t="str">
        <f>IF(P40="","",VLOOKUP($D40,直管換算表!$A$3:$N$11,水理計算シート!AM$31,FALSE)*水理計算シート!P40)</f>
        <v/>
      </c>
      <c r="AM40" s="84" t="str">
        <f>IF(Q40="","",VLOOKUP($D40,直管換算表!$A$3:$N$11,水理計算シート!AN$31,FALSE)*水理計算シート!Q40)</f>
        <v/>
      </c>
      <c r="AN40" s="84" t="str">
        <f t="shared" si="20"/>
        <v/>
      </c>
      <c r="AP40" s="117"/>
    </row>
    <row r="41" spans="2:42" ht="24.95" customHeight="1" x14ac:dyDescent="0.15">
      <c r="B41" s="78">
        <v>8</v>
      </c>
      <c r="C41" s="115" t="str">
        <f t="shared" si="14"/>
        <v/>
      </c>
      <c r="D41" s="79" t="str">
        <f t="shared" si="15"/>
        <v/>
      </c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81" t="str">
        <f t="shared" si="16"/>
        <v/>
      </c>
      <c r="S41" s="116" t="str">
        <f t="shared" si="17"/>
        <v/>
      </c>
      <c r="T41" s="83" t="str">
        <f t="shared" si="21"/>
        <v/>
      </c>
      <c r="U41" s="139" t="str">
        <f t="shared" si="22"/>
        <v/>
      </c>
      <c r="V41" s="129" t="str">
        <f t="shared" si="23"/>
        <v/>
      </c>
      <c r="Y41" s="115" t="str">
        <f t="shared" si="18"/>
        <v/>
      </c>
      <c r="Z41" s="115" t="str">
        <f t="shared" si="19"/>
        <v/>
      </c>
      <c r="AA41" s="84" t="str">
        <f>IF(E41="","",VLOOKUP($D41,直管換算表!$A$3:$N$11,水理計算シート!AB$31,FALSE)*水理計算シート!E41)</f>
        <v/>
      </c>
      <c r="AB41" s="84" t="str">
        <f>IF(F41="","",VLOOKUP($D41,直管換算表!$A$3:$N$11,水理計算シート!AC$31,FALSE)*水理計算シート!F41)</f>
        <v/>
      </c>
      <c r="AC41" s="84" t="str">
        <f>IF(G41="","",VLOOKUP($D41,直管換算表!$A$3:$N$11,水理計算シート!AD$31,FALSE)*水理計算シート!G41)</f>
        <v/>
      </c>
      <c r="AD41" s="84" t="str">
        <f>IF(H41="","",VLOOKUP($D41,直管換算表!$A$3:$N$11,水理計算シート!AE$31,FALSE)*水理計算シート!H41)</f>
        <v/>
      </c>
      <c r="AE41" s="84" t="str">
        <f>IF(I41="","",VLOOKUP($D41,直管換算表!$A$3:$N$11,水理計算シート!AF$31,FALSE)*水理計算シート!I41)</f>
        <v/>
      </c>
      <c r="AF41" s="84" t="str">
        <f>IF(J41="","",VLOOKUP($D41,直管換算表!$A$3:$N$11,水理計算シート!AG$31,FALSE)*水理計算シート!J41)</f>
        <v/>
      </c>
      <c r="AG41" s="84" t="str">
        <f>IF(K41="","",VLOOKUP($D41,直管換算表!$A$3:$N$11,水理計算シート!AH$31,FALSE)*水理計算シート!K41)</f>
        <v/>
      </c>
      <c r="AH41" s="84" t="str">
        <f>IF(L41="","",VLOOKUP($D41,直管換算表!$A$3:$N$11,水理計算シート!AI$31,FALSE)*水理計算シート!L41)</f>
        <v/>
      </c>
      <c r="AI41" s="84" t="str">
        <f>IF(M41="","",VLOOKUP($D41,直管換算表!$A$3:$N$11,水理計算シート!AJ$31,FALSE)*水理計算シート!M41)</f>
        <v/>
      </c>
      <c r="AJ41" s="84" t="str">
        <f>IF(N41="","",VLOOKUP($D41,直管換算表!$A$3:$N$11,水理計算シート!AK$31,FALSE)*水理計算シート!N41)</f>
        <v/>
      </c>
      <c r="AK41" s="84" t="str">
        <f>IF(O41="","",VLOOKUP($D41,直管換算表!$A$3:$N$11,水理計算シート!AL$31,FALSE)*水理計算シート!O41)</f>
        <v/>
      </c>
      <c r="AL41" s="84" t="str">
        <f>IF(P41="","",VLOOKUP($D41,直管換算表!$A$3:$N$11,水理計算シート!AM$31,FALSE)*水理計算シート!P41)</f>
        <v/>
      </c>
      <c r="AM41" s="84" t="str">
        <f>IF(Q41="","",VLOOKUP($D41,直管換算表!$A$3:$N$11,水理計算シート!AN$31,FALSE)*水理計算シート!Q41)</f>
        <v/>
      </c>
      <c r="AN41" s="84" t="str">
        <f t="shared" si="20"/>
        <v/>
      </c>
      <c r="AP41" s="117"/>
    </row>
    <row r="42" spans="2:42" ht="24.95" customHeight="1" x14ac:dyDescent="0.15">
      <c r="B42" s="78">
        <v>9</v>
      </c>
      <c r="C42" s="115" t="str">
        <f t="shared" si="14"/>
        <v/>
      </c>
      <c r="D42" s="79" t="str">
        <f t="shared" si="15"/>
        <v/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0"/>
      <c r="R42" s="81" t="str">
        <f t="shared" si="16"/>
        <v/>
      </c>
      <c r="S42" s="116" t="str">
        <f t="shared" si="17"/>
        <v/>
      </c>
      <c r="T42" s="83" t="str">
        <f t="shared" si="21"/>
        <v/>
      </c>
      <c r="U42" s="139" t="str">
        <f t="shared" si="22"/>
        <v/>
      </c>
      <c r="V42" s="129" t="str">
        <f t="shared" si="23"/>
        <v/>
      </c>
      <c r="Y42" s="115" t="str">
        <f t="shared" si="18"/>
        <v/>
      </c>
      <c r="Z42" s="115" t="str">
        <f t="shared" si="19"/>
        <v/>
      </c>
      <c r="AA42" s="84" t="str">
        <f>IF(E42="","",VLOOKUP($D42,直管換算表!$A$3:$N$11,水理計算シート!AB$31,FALSE)*水理計算シート!E42)</f>
        <v/>
      </c>
      <c r="AB42" s="84" t="str">
        <f>IF(F42="","",VLOOKUP($D42,直管換算表!$A$3:$N$11,水理計算シート!AC$31,FALSE)*水理計算シート!F42)</f>
        <v/>
      </c>
      <c r="AC42" s="84" t="str">
        <f>IF(G42="","",VLOOKUP($D42,直管換算表!$A$3:$N$11,水理計算シート!AD$31,FALSE)*水理計算シート!G42)</f>
        <v/>
      </c>
      <c r="AD42" s="84" t="str">
        <f>IF(H42="","",VLOOKUP($D42,直管換算表!$A$3:$N$11,水理計算シート!AE$31,FALSE)*水理計算シート!H42)</f>
        <v/>
      </c>
      <c r="AE42" s="84" t="str">
        <f>IF(I42="","",VLOOKUP($D42,直管換算表!$A$3:$N$11,水理計算シート!AF$31,FALSE)*水理計算シート!I42)</f>
        <v/>
      </c>
      <c r="AF42" s="84" t="str">
        <f>IF(J42="","",VLOOKUP($D42,直管換算表!$A$3:$N$11,水理計算シート!AG$31,FALSE)*水理計算シート!J42)</f>
        <v/>
      </c>
      <c r="AG42" s="84" t="str">
        <f>IF(K42="","",VLOOKUP($D42,直管換算表!$A$3:$N$11,水理計算シート!AH$31,FALSE)*水理計算シート!K42)</f>
        <v/>
      </c>
      <c r="AH42" s="84" t="str">
        <f>IF(L42="","",VLOOKUP($D42,直管換算表!$A$3:$N$11,水理計算シート!AI$31,FALSE)*水理計算シート!L42)</f>
        <v/>
      </c>
      <c r="AI42" s="84" t="str">
        <f>IF(M42="","",VLOOKUP($D42,直管換算表!$A$3:$N$11,水理計算シート!AJ$31,FALSE)*水理計算シート!M42)</f>
        <v/>
      </c>
      <c r="AJ42" s="84" t="str">
        <f>IF(N42="","",VLOOKUP($D42,直管換算表!$A$3:$N$11,水理計算シート!AK$31,FALSE)*水理計算シート!N42)</f>
        <v/>
      </c>
      <c r="AK42" s="84" t="str">
        <f>IF(O42="","",VLOOKUP($D42,直管換算表!$A$3:$N$11,水理計算シート!AL$31,FALSE)*水理計算シート!O42)</f>
        <v/>
      </c>
      <c r="AL42" s="84" t="str">
        <f>IF(P42="","",VLOOKUP($D42,直管換算表!$A$3:$N$11,水理計算シート!AM$31,FALSE)*水理計算シート!P42)</f>
        <v/>
      </c>
      <c r="AM42" s="84" t="str">
        <f>IF(Q42="","",VLOOKUP($D42,直管換算表!$A$3:$N$11,水理計算シート!AN$31,FALSE)*水理計算シート!Q42)</f>
        <v/>
      </c>
      <c r="AN42" s="84" t="str">
        <f t="shared" si="20"/>
        <v/>
      </c>
      <c r="AP42" s="117"/>
    </row>
    <row r="43" spans="2:42" ht="24.95" customHeight="1" x14ac:dyDescent="0.15">
      <c r="B43" s="78">
        <v>10</v>
      </c>
      <c r="C43" s="115" t="str">
        <f t="shared" si="14"/>
        <v/>
      </c>
      <c r="D43" s="79" t="str">
        <f t="shared" si="15"/>
        <v/>
      </c>
      <c r="E43" s="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0"/>
      <c r="R43" s="81" t="str">
        <f t="shared" si="16"/>
        <v/>
      </c>
      <c r="S43" s="116" t="str">
        <f t="shared" si="17"/>
        <v/>
      </c>
      <c r="T43" s="83" t="str">
        <f t="shared" si="21"/>
        <v/>
      </c>
      <c r="U43" s="139" t="str">
        <f t="shared" si="22"/>
        <v/>
      </c>
      <c r="V43" s="129" t="str">
        <f t="shared" si="23"/>
        <v/>
      </c>
      <c r="Y43" s="115" t="str">
        <f t="shared" si="18"/>
        <v/>
      </c>
      <c r="Z43" s="115" t="str">
        <f t="shared" si="19"/>
        <v/>
      </c>
      <c r="AA43" s="84" t="str">
        <f>IF(E43="","",VLOOKUP($D43,直管換算表!$A$3:$N$11,水理計算シート!AB$31,FALSE)*水理計算シート!E43)</f>
        <v/>
      </c>
      <c r="AB43" s="84" t="str">
        <f>IF(F43="","",VLOOKUP($D43,直管換算表!$A$3:$N$11,水理計算シート!AC$31,FALSE)*水理計算シート!F43)</f>
        <v/>
      </c>
      <c r="AC43" s="84" t="str">
        <f>IF(G43="","",VLOOKUP($D43,直管換算表!$A$3:$N$11,水理計算シート!AD$31,FALSE)*水理計算シート!G43)</f>
        <v/>
      </c>
      <c r="AD43" s="84" t="str">
        <f>IF(H43="","",VLOOKUP($D43,直管換算表!$A$3:$N$11,水理計算シート!AE$31,FALSE)*水理計算シート!H43)</f>
        <v/>
      </c>
      <c r="AE43" s="84" t="str">
        <f>IF(I43="","",VLOOKUP($D43,直管換算表!$A$3:$N$11,水理計算シート!AF$31,FALSE)*水理計算シート!I43)</f>
        <v/>
      </c>
      <c r="AF43" s="84" t="str">
        <f>IF(J43="","",VLOOKUP($D43,直管換算表!$A$3:$N$11,水理計算シート!AG$31,FALSE)*水理計算シート!J43)</f>
        <v/>
      </c>
      <c r="AG43" s="84" t="str">
        <f>IF(K43="","",VLOOKUP($D43,直管換算表!$A$3:$N$11,水理計算シート!AH$31,FALSE)*水理計算シート!K43)</f>
        <v/>
      </c>
      <c r="AH43" s="84" t="str">
        <f>IF(L43="","",VLOOKUP($D43,直管換算表!$A$3:$N$11,水理計算シート!AI$31,FALSE)*水理計算シート!L43)</f>
        <v/>
      </c>
      <c r="AI43" s="84" t="str">
        <f>IF(M43="","",VLOOKUP($D43,直管換算表!$A$3:$N$11,水理計算シート!AJ$31,FALSE)*水理計算シート!M43)</f>
        <v/>
      </c>
      <c r="AJ43" s="84" t="str">
        <f>IF(N43="","",VLOOKUP($D43,直管換算表!$A$3:$N$11,水理計算シート!AK$31,FALSE)*水理計算シート!N43)</f>
        <v/>
      </c>
      <c r="AK43" s="84" t="str">
        <f>IF(O43="","",VLOOKUP($D43,直管換算表!$A$3:$N$11,水理計算シート!AL$31,FALSE)*水理計算シート!O43)</f>
        <v/>
      </c>
      <c r="AL43" s="84" t="str">
        <f>IF(P43="","",VLOOKUP($D43,直管換算表!$A$3:$N$11,水理計算シート!AM$31,FALSE)*水理計算シート!P43)</f>
        <v/>
      </c>
      <c r="AM43" s="84" t="str">
        <f>IF(Q43="","",VLOOKUP($D43,直管換算表!$A$3:$N$11,水理計算シート!AN$31,FALSE)*水理計算シート!Q43)</f>
        <v/>
      </c>
      <c r="AN43" s="84" t="str">
        <f t="shared" si="20"/>
        <v/>
      </c>
      <c r="AP43" s="117"/>
    </row>
    <row r="44" spans="2:42" ht="24.95" customHeight="1" x14ac:dyDescent="0.15">
      <c r="B44" s="78">
        <v>11</v>
      </c>
      <c r="C44" s="115" t="str">
        <f t="shared" si="14"/>
        <v/>
      </c>
      <c r="D44" s="79" t="str">
        <f t="shared" si="15"/>
        <v/>
      </c>
      <c r="E44" s="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0"/>
      <c r="R44" s="81" t="str">
        <f t="shared" si="16"/>
        <v/>
      </c>
      <c r="S44" s="116" t="str">
        <f t="shared" si="17"/>
        <v/>
      </c>
      <c r="T44" s="83" t="str">
        <f t="shared" si="21"/>
        <v/>
      </c>
      <c r="U44" s="139" t="str">
        <f t="shared" si="22"/>
        <v/>
      </c>
      <c r="V44" s="129" t="str">
        <f t="shared" si="23"/>
        <v/>
      </c>
      <c r="Y44" s="115" t="str">
        <f t="shared" si="18"/>
        <v/>
      </c>
      <c r="Z44" s="115" t="str">
        <f t="shared" si="19"/>
        <v/>
      </c>
      <c r="AA44" s="84" t="str">
        <f>IF(E44="","",VLOOKUP($D44,直管換算表!$A$3:$N$11,水理計算シート!AB$31,FALSE)*水理計算シート!E44)</f>
        <v/>
      </c>
      <c r="AB44" s="84" t="str">
        <f>IF(F44="","",VLOOKUP($D44,直管換算表!$A$3:$N$11,水理計算シート!AC$31,FALSE)*水理計算シート!F44)</f>
        <v/>
      </c>
      <c r="AC44" s="84" t="str">
        <f>IF(G44="","",VLOOKUP($D44,直管換算表!$A$3:$N$11,水理計算シート!AD$31,FALSE)*水理計算シート!G44)</f>
        <v/>
      </c>
      <c r="AD44" s="84" t="str">
        <f>IF(H44="","",VLOOKUP($D44,直管換算表!$A$3:$N$11,水理計算シート!AE$31,FALSE)*水理計算シート!H44)</f>
        <v/>
      </c>
      <c r="AE44" s="84" t="str">
        <f>IF(I44="","",VLOOKUP($D44,直管換算表!$A$3:$N$11,水理計算シート!AF$31,FALSE)*水理計算シート!I44)</f>
        <v/>
      </c>
      <c r="AF44" s="84" t="str">
        <f>IF(J44="","",VLOOKUP($D44,直管換算表!$A$3:$N$11,水理計算シート!AG$31,FALSE)*水理計算シート!J44)</f>
        <v/>
      </c>
      <c r="AG44" s="84" t="str">
        <f>IF(K44="","",VLOOKUP($D44,直管換算表!$A$3:$N$11,水理計算シート!AH$31,FALSE)*水理計算シート!K44)</f>
        <v/>
      </c>
      <c r="AH44" s="84" t="str">
        <f>IF(L44="","",VLOOKUP($D44,直管換算表!$A$3:$N$11,水理計算シート!AI$31,FALSE)*水理計算シート!L44)</f>
        <v/>
      </c>
      <c r="AI44" s="84" t="str">
        <f>IF(M44="","",VLOOKUP($D44,直管換算表!$A$3:$N$11,水理計算シート!AJ$31,FALSE)*水理計算シート!M44)</f>
        <v/>
      </c>
      <c r="AJ44" s="84" t="str">
        <f>IF(N44="","",VLOOKUP($D44,直管換算表!$A$3:$N$11,水理計算シート!AK$31,FALSE)*水理計算シート!N44)</f>
        <v/>
      </c>
      <c r="AK44" s="84" t="str">
        <f>IF(O44="","",VLOOKUP($D44,直管換算表!$A$3:$N$11,水理計算シート!AL$31,FALSE)*水理計算シート!O44)</f>
        <v/>
      </c>
      <c r="AL44" s="84" t="str">
        <f>IF(P44="","",VLOOKUP($D44,直管換算表!$A$3:$N$11,水理計算シート!AM$31,FALSE)*水理計算シート!P44)</f>
        <v/>
      </c>
      <c r="AM44" s="84" t="str">
        <f>IF(Q44="","",VLOOKUP($D44,直管換算表!$A$3:$N$11,水理計算シート!AN$31,FALSE)*水理計算シート!Q44)</f>
        <v/>
      </c>
      <c r="AN44" s="84" t="str">
        <f t="shared" si="20"/>
        <v/>
      </c>
      <c r="AP44" s="117"/>
    </row>
    <row r="45" spans="2:42" ht="24.95" customHeight="1" x14ac:dyDescent="0.15">
      <c r="B45" s="78">
        <v>12</v>
      </c>
      <c r="C45" s="115" t="str">
        <f t="shared" si="14"/>
        <v/>
      </c>
      <c r="D45" s="79" t="str">
        <f t="shared" si="15"/>
        <v/>
      </c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0"/>
      <c r="R45" s="81" t="str">
        <f t="shared" si="16"/>
        <v/>
      </c>
      <c r="S45" s="116" t="str">
        <f t="shared" si="17"/>
        <v/>
      </c>
      <c r="T45" s="83" t="str">
        <f t="shared" si="21"/>
        <v/>
      </c>
      <c r="U45" s="139" t="str">
        <f t="shared" si="22"/>
        <v/>
      </c>
      <c r="V45" s="129" t="str">
        <f t="shared" si="23"/>
        <v/>
      </c>
      <c r="Y45" s="115" t="str">
        <f t="shared" si="18"/>
        <v/>
      </c>
      <c r="Z45" s="115" t="str">
        <f t="shared" si="19"/>
        <v/>
      </c>
      <c r="AA45" s="84" t="str">
        <f>IF(E45="","",VLOOKUP($D45,直管換算表!$A$3:$N$11,水理計算シート!AB$31,FALSE)*水理計算シート!E45)</f>
        <v/>
      </c>
      <c r="AB45" s="84" t="str">
        <f>IF(F45="","",VLOOKUP($D45,直管換算表!$A$3:$N$11,水理計算シート!AC$31,FALSE)*水理計算シート!F45)</f>
        <v/>
      </c>
      <c r="AC45" s="84" t="str">
        <f>IF(G45="","",VLOOKUP($D45,直管換算表!$A$3:$N$11,水理計算シート!AD$31,FALSE)*水理計算シート!G45)</f>
        <v/>
      </c>
      <c r="AD45" s="84" t="str">
        <f>IF(H45="","",VLOOKUP($D45,直管換算表!$A$3:$N$11,水理計算シート!AE$31,FALSE)*水理計算シート!H45)</f>
        <v/>
      </c>
      <c r="AE45" s="84" t="str">
        <f>IF(I45="","",VLOOKUP($D45,直管換算表!$A$3:$N$11,水理計算シート!AF$31,FALSE)*水理計算シート!I45)</f>
        <v/>
      </c>
      <c r="AF45" s="84" t="str">
        <f>IF(J45="","",VLOOKUP($D45,直管換算表!$A$3:$N$11,水理計算シート!AG$31,FALSE)*水理計算シート!J45)</f>
        <v/>
      </c>
      <c r="AG45" s="84" t="str">
        <f>IF(K45="","",VLOOKUP($D45,直管換算表!$A$3:$N$11,水理計算シート!AH$31,FALSE)*水理計算シート!K45)</f>
        <v/>
      </c>
      <c r="AH45" s="84" t="str">
        <f>IF(L45="","",VLOOKUP($D45,直管換算表!$A$3:$N$11,水理計算シート!AI$31,FALSE)*水理計算シート!L45)</f>
        <v/>
      </c>
      <c r="AI45" s="84" t="str">
        <f>IF(M45="","",VLOOKUP($D45,直管換算表!$A$3:$N$11,水理計算シート!AJ$31,FALSE)*水理計算シート!M45)</f>
        <v/>
      </c>
      <c r="AJ45" s="84" t="str">
        <f>IF(N45="","",VLOOKUP($D45,直管換算表!$A$3:$N$11,水理計算シート!AK$31,FALSE)*水理計算シート!N45)</f>
        <v/>
      </c>
      <c r="AK45" s="84" t="str">
        <f>IF(O45="","",VLOOKUP($D45,直管換算表!$A$3:$N$11,水理計算シート!AL$31,FALSE)*水理計算シート!O45)</f>
        <v/>
      </c>
      <c r="AL45" s="84" t="str">
        <f>IF(P45="","",VLOOKUP($D45,直管換算表!$A$3:$N$11,水理計算シート!AM$31,FALSE)*水理計算シート!P45)</f>
        <v/>
      </c>
      <c r="AM45" s="84" t="str">
        <f>IF(Q45="","",VLOOKUP($D45,直管換算表!$A$3:$N$11,水理計算シート!AN$31,FALSE)*水理計算シート!Q45)</f>
        <v/>
      </c>
      <c r="AN45" s="84" t="str">
        <f t="shared" si="20"/>
        <v/>
      </c>
      <c r="AP45" s="117"/>
    </row>
    <row r="46" spans="2:42" ht="24.95" customHeight="1" x14ac:dyDescent="0.15">
      <c r="B46" s="78">
        <v>13</v>
      </c>
      <c r="C46" s="115" t="str">
        <f t="shared" si="14"/>
        <v/>
      </c>
      <c r="D46" s="79" t="str">
        <f t="shared" si="15"/>
        <v/>
      </c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0"/>
      <c r="R46" s="81" t="str">
        <f t="shared" si="16"/>
        <v/>
      </c>
      <c r="S46" s="116" t="str">
        <f t="shared" si="17"/>
        <v/>
      </c>
      <c r="T46" s="83" t="str">
        <f t="shared" si="21"/>
        <v/>
      </c>
      <c r="U46" s="139" t="str">
        <f t="shared" si="22"/>
        <v/>
      </c>
      <c r="V46" s="129" t="str">
        <f t="shared" si="23"/>
        <v/>
      </c>
      <c r="Y46" s="115" t="str">
        <f t="shared" si="18"/>
        <v/>
      </c>
      <c r="Z46" s="115" t="str">
        <f t="shared" si="19"/>
        <v/>
      </c>
      <c r="AA46" s="84" t="str">
        <f>IF(E46="","",VLOOKUP($D46,直管換算表!$A$3:$N$11,水理計算シート!AB$31,FALSE)*水理計算シート!E46)</f>
        <v/>
      </c>
      <c r="AB46" s="84" t="str">
        <f>IF(F46="","",VLOOKUP($D46,直管換算表!$A$3:$N$11,水理計算シート!AC$31,FALSE)*水理計算シート!F46)</f>
        <v/>
      </c>
      <c r="AC46" s="84" t="str">
        <f>IF(G46="","",VLOOKUP($D46,直管換算表!$A$3:$N$11,水理計算シート!AD$31,FALSE)*水理計算シート!G46)</f>
        <v/>
      </c>
      <c r="AD46" s="84" t="str">
        <f>IF(H46="","",VLOOKUP($D46,直管換算表!$A$3:$N$11,水理計算シート!AE$31,FALSE)*水理計算シート!H46)</f>
        <v/>
      </c>
      <c r="AE46" s="84" t="str">
        <f>IF(I46="","",VLOOKUP($D46,直管換算表!$A$3:$N$11,水理計算シート!AF$31,FALSE)*水理計算シート!I46)</f>
        <v/>
      </c>
      <c r="AF46" s="84" t="str">
        <f>IF(J46="","",VLOOKUP($D46,直管換算表!$A$3:$N$11,水理計算シート!AG$31,FALSE)*水理計算シート!J46)</f>
        <v/>
      </c>
      <c r="AG46" s="84" t="str">
        <f>IF(K46="","",VLOOKUP($D46,直管換算表!$A$3:$N$11,水理計算シート!AH$31,FALSE)*水理計算シート!K46)</f>
        <v/>
      </c>
      <c r="AH46" s="84" t="str">
        <f>IF(L46="","",VLOOKUP($D46,直管換算表!$A$3:$N$11,水理計算シート!AI$31,FALSE)*水理計算シート!L46)</f>
        <v/>
      </c>
      <c r="AI46" s="84" t="str">
        <f>IF(M46="","",VLOOKUP($D46,直管換算表!$A$3:$N$11,水理計算シート!AJ$31,FALSE)*水理計算シート!M46)</f>
        <v/>
      </c>
      <c r="AJ46" s="84" t="str">
        <f>IF(N46="","",VLOOKUP($D46,直管換算表!$A$3:$N$11,水理計算シート!AK$31,FALSE)*水理計算シート!N46)</f>
        <v/>
      </c>
      <c r="AK46" s="84" t="str">
        <f>IF(O46="","",VLOOKUP($D46,直管換算表!$A$3:$N$11,水理計算シート!AL$31,FALSE)*水理計算シート!O46)</f>
        <v/>
      </c>
      <c r="AL46" s="84" t="str">
        <f>IF(P46="","",VLOOKUP($D46,直管換算表!$A$3:$N$11,水理計算シート!AM$31,FALSE)*水理計算シート!P46)</f>
        <v/>
      </c>
      <c r="AM46" s="84" t="str">
        <f>IF(Q46="","",VLOOKUP($D46,直管換算表!$A$3:$N$11,水理計算シート!AN$31,FALSE)*水理計算シート!Q46)</f>
        <v/>
      </c>
      <c r="AN46" s="84" t="str">
        <f t="shared" si="20"/>
        <v/>
      </c>
      <c r="AP46" s="117"/>
    </row>
    <row r="47" spans="2:42" ht="24.95" customHeight="1" x14ac:dyDescent="0.15">
      <c r="B47" s="78">
        <v>14</v>
      </c>
      <c r="C47" s="115" t="str">
        <f t="shared" si="14"/>
        <v/>
      </c>
      <c r="D47" s="79" t="str">
        <f t="shared" si="15"/>
        <v/>
      </c>
      <c r="E47" s="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0"/>
      <c r="R47" s="81" t="str">
        <f t="shared" si="16"/>
        <v/>
      </c>
      <c r="S47" s="116" t="str">
        <f t="shared" si="17"/>
        <v/>
      </c>
      <c r="T47" s="83" t="str">
        <f t="shared" si="21"/>
        <v/>
      </c>
      <c r="U47" s="139" t="str">
        <f t="shared" si="22"/>
        <v/>
      </c>
      <c r="V47" s="129" t="str">
        <f t="shared" si="23"/>
        <v/>
      </c>
      <c r="Y47" s="115" t="str">
        <f t="shared" si="18"/>
        <v/>
      </c>
      <c r="Z47" s="115" t="str">
        <f t="shared" si="19"/>
        <v/>
      </c>
      <c r="AA47" s="84" t="str">
        <f>IF(E47="","",VLOOKUP($D47,直管換算表!$A$3:$N$11,水理計算シート!AB$31,FALSE)*水理計算シート!E47)</f>
        <v/>
      </c>
      <c r="AB47" s="84" t="str">
        <f>IF(F47="","",VLOOKUP($D47,直管換算表!$A$3:$N$11,水理計算シート!AC$31,FALSE)*水理計算シート!F47)</f>
        <v/>
      </c>
      <c r="AC47" s="84" t="str">
        <f>IF(G47="","",VLOOKUP($D47,直管換算表!$A$3:$N$11,水理計算シート!AD$31,FALSE)*水理計算シート!G47)</f>
        <v/>
      </c>
      <c r="AD47" s="84" t="str">
        <f>IF(H47="","",VLOOKUP($D47,直管換算表!$A$3:$N$11,水理計算シート!AE$31,FALSE)*水理計算シート!H47)</f>
        <v/>
      </c>
      <c r="AE47" s="84" t="str">
        <f>IF(I47="","",VLOOKUP($D47,直管換算表!$A$3:$N$11,水理計算シート!AF$31,FALSE)*水理計算シート!I47)</f>
        <v/>
      </c>
      <c r="AF47" s="84" t="str">
        <f>IF(J47="","",VLOOKUP($D47,直管換算表!$A$3:$N$11,水理計算シート!AG$31,FALSE)*水理計算シート!J47)</f>
        <v/>
      </c>
      <c r="AG47" s="84" t="str">
        <f>IF(K47="","",VLOOKUP($D47,直管換算表!$A$3:$N$11,水理計算シート!AH$31,FALSE)*水理計算シート!K47)</f>
        <v/>
      </c>
      <c r="AH47" s="84" t="str">
        <f>IF(L47="","",VLOOKUP($D47,直管換算表!$A$3:$N$11,水理計算シート!AI$31,FALSE)*水理計算シート!L47)</f>
        <v/>
      </c>
      <c r="AI47" s="84" t="str">
        <f>IF(M47="","",VLOOKUP($D47,直管換算表!$A$3:$N$11,水理計算シート!AJ$31,FALSE)*水理計算シート!M47)</f>
        <v/>
      </c>
      <c r="AJ47" s="84" t="str">
        <f>IF(N47="","",VLOOKUP($D47,直管換算表!$A$3:$N$11,水理計算シート!AK$31,FALSE)*水理計算シート!N47)</f>
        <v/>
      </c>
      <c r="AK47" s="84" t="str">
        <f>IF(O47="","",VLOOKUP($D47,直管換算表!$A$3:$N$11,水理計算シート!AL$31,FALSE)*水理計算シート!O47)</f>
        <v/>
      </c>
      <c r="AL47" s="84" t="str">
        <f>IF(P47="","",VLOOKUP($D47,直管換算表!$A$3:$N$11,水理計算シート!AM$31,FALSE)*水理計算シート!P47)</f>
        <v/>
      </c>
      <c r="AM47" s="84" t="str">
        <f>IF(Q47="","",VLOOKUP($D47,直管換算表!$A$3:$N$11,水理計算シート!AN$31,FALSE)*水理計算シート!Q47)</f>
        <v/>
      </c>
      <c r="AN47" s="84" t="str">
        <f t="shared" si="20"/>
        <v/>
      </c>
      <c r="AP47" s="117"/>
    </row>
    <row r="48" spans="2:42" ht="24.95" customHeight="1" x14ac:dyDescent="0.15">
      <c r="B48" s="78">
        <v>15</v>
      </c>
      <c r="C48" s="115" t="str">
        <f t="shared" si="14"/>
        <v/>
      </c>
      <c r="D48" s="79" t="str">
        <f t="shared" si="15"/>
        <v/>
      </c>
      <c r="E48" s="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0"/>
      <c r="R48" s="81" t="str">
        <f t="shared" si="16"/>
        <v/>
      </c>
      <c r="S48" s="116" t="str">
        <f t="shared" si="17"/>
        <v/>
      </c>
      <c r="T48" s="83" t="str">
        <f t="shared" si="21"/>
        <v/>
      </c>
      <c r="U48" s="139" t="str">
        <f t="shared" si="22"/>
        <v/>
      </c>
      <c r="V48" s="129" t="str">
        <f t="shared" si="23"/>
        <v/>
      </c>
      <c r="Y48" s="115" t="str">
        <f t="shared" si="18"/>
        <v/>
      </c>
      <c r="Z48" s="115" t="str">
        <f t="shared" si="19"/>
        <v/>
      </c>
      <c r="AA48" s="84" t="str">
        <f>IF(E48="","",VLOOKUP($D48,直管換算表!$A$3:$N$11,水理計算シート!AB$31,FALSE)*水理計算シート!E48)</f>
        <v/>
      </c>
      <c r="AB48" s="84" t="str">
        <f>IF(F48="","",VLOOKUP($D48,直管換算表!$A$3:$N$11,水理計算シート!AC$31,FALSE)*水理計算シート!F48)</f>
        <v/>
      </c>
      <c r="AC48" s="84" t="str">
        <f>IF(G48="","",VLOOKUP($D48,直管換算表!$A$3:$N$11,水理計算シート!AD$31,FALSE)*水理計算シート!G48)</f>
        <v/>
      </c>
      <c r="AD48" s="84" t="str">
        <f>IF(H48="","",VLOOKUP($D48,直管換算表!$A$3:$N$11,水理計算シート!AE$31,FALSE)*水理計算シート!H48)</f>
        <v/>
      </c>
      <c r="AE48" s="84" t="str">
        <f>IF(I48="","",VLOOKUP($D48,直管換算表!$A$3:$N$11,水理計算シート!AF$31,FALSE)*水理計算シート!I48)</f>
        <v/>
      </c>
      <c r="AF48" s="84" t="str">
        <f>IF(J48="","",VLOOKUP($D48,直管換算表!$A$3:$N$11,水理計算シート!AG$31,FALSE)*水理計算シート!J48)</f>
        <v/>
      </c>
      <c r="AG48" s="84" t="str">
        <f>IF(K48="","",VLOOKUP($D48,直管換算表!$A$3:$N$11,水理計算シート!AH$31,FALSE)*水理計算シート!K48)</f>
        <v/>
      </c>
      <c r="AH48" s="84" t="str">
        <f>IF(L48="","",VLOOKUP($D48,直管換算表!$A$3:$N$11,水理計算シート!AI$31,FALSE)*水理計算シート!L48)</f>
        <v/>
      </c>
      <c r="AI48" s="84" t="str">
        <f>IF(M48="","",VLOOKUP($D48,直管換算表!$A$3:$N$11,水理計算シート!AJ$31,FALSE)*水理計算シート!M48)</f>
        <v/>
      </c>
      <c r="AJ48" s="84" t="str">
        <f>IF(N48="","",VLOOKUP($D48,直管換算表!$A$3:$N$11,水理計算シート!AK$31,FALSE)*水理計算シート!N48)</f>
        <v/>
      </c>
      <c r="AK48" s="84" t="str">
        <f>IF(O48="","",VLOOKUP($D48,直管換算表!$A$3:$N$11,水理計算シート!AL$31,FALSE)*水理計算シート!O48)</f>
        <v/>
      </c>
      <c r="AL48" s="84" t="str">
        <f>IF(P48="","",VLOOKUP($D48,直管換算表!$A$3:$N$11,水理計算シート!AM$31,FALSE)*水理計算シート!P48)</f>
        <v/>
      </c>
      <c r="AM48" s="84" t="str">
        <f>IF(Q48="","",VLOOKUP($D48,直管換算表!$A$3:$N$11,水理計算シート!AN$31,FALSE)*水理計算シート!Q48)</f>
        <v/>
      </c>
      <c r="AN48" s="84" t="str">
        <f t="shared" si="20"/>
        <v/>
      </c>
      <c r="AP48" s="117"/>
    </row>
    <row r="49" spans="2:42" ht="24.95" customHeight="1" x14ac:dyDescent="0.15">
      <c r="B49" s="78">
        <v>16</v>
      </c>
      <c r="C49" s="115" t="str">
        <f t="shared" si="14"/>
        <v/>
      </c>
      <c r="D49" s="79" t="str">
        <f t="shared" si="15"/>
        <v/>
      </c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0"/>
      <c r="R49" s="81" t="str">
        <f t="shared" si="16"/>
        <v/>
      </c>
      <c r="S49" s="116" t="str">
        <f t="shared" si="17"/>
        <v/>
      </c>
      <c r="T49" s="83" t="str">
        <f t="shared" si="21"/>
        <v/>
      </c>
      <c r="U49" s="139" t="str">
        <f t="shared" si="22"/>
        <v/>
      </c>
      <c r="V49" s="129" t="str">
        <f t="shared" si="23"/>
        <v/>
      </c>
      <c r="Y49" s="115" t="str">
        <f t="shared" si="18"/>
        <v/>
      </c>
      <c r="Z49" s="115" t="str">
        <f t="shared" si="19"/>
        <v/>
      </c>
      <c r="AA49" s="84" t="str">
        <f>IF(E49="","",VLOOKUP($D49,直管換算表!$A$3:$N$11,水理計算シート!AB$31,FALSE)*水理計算シート!E49)</f>
        <v/>
      </c>
      <c r="AB49" s="84" t="str">
        <f>IF(F49="","",VLOOKUP($D49,直管換算表!$A$3:$N$11,水理計算シート!AC$31,FALSE)*水理計算シート!F49)</f>
        <v/>
      </c>
      <c r="AC49" s="84" t="str">
        <f>IF(G49="","",VLOOKUP($D49,直管換算表!$A$3:$N$11,水理計算シート!AD$31,FALSE)*水理計算シート!G49)</f>
        <v/>
      </c>
      <c r="AD49" s="84" t="str">
        <f>IF(H49="","",VLOOKUP($D49,直管換算表!$A$3:$N$11,水理計算シート!AE$31,FALSE)*水理計算シート!H49)</f>
        <v/>
      </c>
      <c r="AE49" s="84" t="str">
        <f>IF(I49="","",VLOOKUP($D49,直管換算表!$A$3:$N$11,水理計算シート!AF$31,FALSE)*水理計算シート!I49)</f>
        <v/>
      </c>
      <c r="AF49" s="84" t="str">
        <f>IF(J49="","",VLOOKUP($D49,直管換算表!$A$3:$N$11,水理計算シート!AG$31,FALSE)*水理計算シート!J49)</f>
        <v/>
      </c>
      <c r="AG49" s="84" t="str">
        <f>IF(K49="","",VLOOKUP($D49,直管換算表!$A$3:$N$11,水理計算シート!AH$31,FALSE)*水理計算シート!K49)</f>
        <v/>
      </c>
      <c r="AH49" s="84" t="str">
        <f>IF(L49="","",VLOOKUP($D49,直管換算表!$A$3:$N$11,水理計算シート!AI$31,FALSE)*水理計算シート!L49)</f>
        <v/>
      </c>
      <c r="AI49" s="84" t="str">
        <f>IF(M49="","",VLOOKUP($D49,直管換算表!$A$3:$N$11,水理計算シート!AJ$31,FALSE)*水理計算シート!M49)</f>
        <v/>
      </c>
      <c r="AJ49" s="84" t="str">
        <f>IF(N49="","",VLOOKUP($D49,直管換算表!$A$3:$N$11,水理計算シート!AK$31,FALSE)*水理計算シート!N49)</f>
        <v/>
      </c>
      <c r="AK49" s="84" t="str">
        <f>IF(O49="","",VLOOKUP($D49,直管換算表!$A$3:$N$11,水理計算シート!AL$31,FALSE)*水理計算シート!O49)</f>
        <v/>
      </c>
      <c r="AL49" s="84" t="str">
        <f>IF(P49="","",VLOOKUP($D49,直管換算表!$A$3:$N$11,水理計算シート!AM$31,FALSE)*水理計算シート!P49)</f>
        <v/>
      </c>
      <c r="AM49" s="84" t="str">
        <f>IF(Q49="","",VLOOKUP($D49,直管換算表!$A$3:$N$11,水理計算シート!AN$31,FALSE)*水理計算シート!Q49)</f>
        <v/>
      </c>
      <c r="AN49" s="84" t="str">
        <f t="shared" si="20"/>
        <v/>
      </c>
      <c r="AP49" s="117"/>
    </row>
    <row r="50" spans="2:42" ht="24.95" customHeight="1" x14ac:dyDescent="0.15">
      <c r="B50" s="78">
        <v>17</v>
      </c>
      <c r="C50" s="115" t="str">
        <f t="shared" si="14"/>
        <v/>
      </c>
      <c r="D50" s="79" t="str">
        <f t="shared" si="15"/>
        <v/>
      </c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0"/>
      <c r="R50" s="81" t="str">
        <f t="shared" si="16"/>
        <v/>
      </c>
      <c r="S50" s="116" t="str">
        <f t="shared" si="17"/>
        <v/>
      </c>
      <c r="T50" s="83" t="str">
        <f t="shared" si="21"/>
        <v/>
      </c>
      <c r="U50" s="139" t="str">
        <f t="shared" si="22"/>
        <v/>
      </c>
      <c r="V50" s="129" t="str">
        <f t="shared" si="23"/>
        <v/>
      </c>
      <c r="Y50" s="115" t="str">
        <f t="shared" si="18"/>
        <v/>
      </c>
      <c r="Z50" s="115" t="str">
        <f t="shared" si="19"/>
        <v/>
      </c>
      <c r="AA50" s="84" t="str">
        <f>IF(E50="","",VLOOKUP($D50,直管換算表!$A$3:$N$11,水理計算シート!AB$31,FALSE)*水理計算シート!E50)</f>
        <v/>
      </c>
      <c r="AB50" s="84" t="str">
        <f>IF(F50="","",VLOOKUP($D50,直管換算表!$A$3:$N$11,水理計算シート!AC$31,FALSE)*水理計算シート!F50)</f>
        <v/>
      </c>
      <c r="AC50" s="84" t="str">
        <f>IF(G50="","",VLOOKUP($D50,直管換算表!$A$3:$N$11,水理計算シート!AD$31,FALSE)*水理計算シート!G50)</f>
        <v/>
      </c>
      <c r="AD50" s="84" t="str">
        <f>IF(H50="","",VLOOKUP($D50,直管換算表!$A$3:$N$11,水理計算シート!AE$31,FALSE)*水理計算シート!H50)</f>
        <v/>
      </c>
      <c r="AE50" s="84" t="str">
        <f>IF(I50="","",VLOOKUP($D50,直管換算表!$A$3:$N$11,水理計算シート!AF$31,FALSE)*水理計算シート!I50)</f>
        <v/>
      </c>
      <c r="AF50" s="84" t="str">
        <f>IF(J50="","",VLOOKUP($D50,直管換算表!$A$3:$N$11,水理計算シート!AG$31,FALSE)*水理計算シート!J50)</f>
        <v/>
      </c>
      <c r="AG50" s="84" t="str">
        <f>IF(K50="","",VLOOKUP($D50,直管換算表!$A$3:$N$11,水理計算シート!AH$31,FALSE)*水理計算シート!K50)</f>
        <v/>
      </c>
      <c r="AH50" s="84" t="str">
        <f>IF(L50="","",VLOOKUP($D50,直管換算表!$A$3:$N$11,水理計算シート!AI$31,FALSE)*水理計算シート!L50)</f>
        <v/>
      </c>
      <c r="AI50" s="84" t="str">
        <f>IF(M50="","",VLOOKUP($D50,直管換算表!$A$3:$N$11,水理計算シート!AJ$31,FALSE)*水理計算シート!M50)</f>
        <v/>
      </c>
      <c r="AJ50" s="84" t="str">
        <f>IF(N50="","",VLOOKUP($D50,直管換算表!$A$3:$N$11,水理計算シート!AK$31,FALSE)*水理計算シート!N50)</f>
        <v/>
      </c>
      <c r="AK50" s="84" t="str">
        <f>IF(O50="","",VLOOKUP($D50,直管換算表!$A$3:$N$11,水理計算シート!AL$31,FALSE)*水理計算シート!O50)</f>
        <v/>
      </c>
      <c r="AL50" s="84" t="str">
        <f>IF(P50="","",VLOOKUP($D50,直管換算表!$A$3:$N$11,水理計算シート!AM$31,FALSE)*水理計算シート!P50)</f>
        <v/>
      </c>
      <c r="AM50" s="84" t="str">
        <f>IF(Q50="","",VLOOKUP($D50,直管換算表!$A$3:$N$11,水理計算シート!AN$31,FALSE)*水理計算シート!Q50)</f>
        <v/>
      </c>
      <c r="AN50" s="84" t="str">
        <f t="shared" si="20"/>
        <v/>
      </c>
      <c r="AP50" s="117"/>
    </row>
    <row r="51" spans="2:42" ht="24.95" customHeight="1" x14ac:dyDescent="0.15">
      <c r="B51" s="78">
        <v>18</v>
      </c>
      <c r="C51" s="115" t="str">
        <f t="shared" si="14"/>
        <v/>
      </c>
      <c r="D51" s="79" t="str">
        <f t="shared" si="15"/>
        <v/>
      </c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10"/>
      <c r="R51" s="81" t="str">
        <f t="shared" si="16"/>
        <v/>
      </c>
      <c r="S51" s="116" t="str">
        <f t="shared" si="17"/>
        <v/>
      </c>
      <c r="T51" s="83" t="str">
        <f t="shared" si="21"/>
        <v/>
      </c>
      <c r="U51" s="139" t="str">
        <f t="shared" si="22"/>
        <v/>
      </c>
      <c r="V51" s="129" t="str">
        <f t="shared" si="23"/>
        <v/>
      </c>
      <c r="Y51" s="115" t="str">
        <f t="shared" si="18"/>
        <v/>
      </c>
      <c r="Z51" s="115" t="str">
        <f t="shared" si="19"/>
        <v/>
      </c>
      <c r="AA51" s="84" t="str">
        <f>IF(E51="","",VLOOKUP($D51,直管換算表!$A$3:$N$11,水理計算シート!AB$31,FALSE)*水理計算シート!E51)</f>
        <v/>
      </c>
      <c r="AB51" s="84" t="str">
        <f>IF(F51="","",VLOOKUP($D51,直管換算表!$A$3:$N$11,水理計算シート!AC$31,FALSE)*水理計算シート!F51)</f>
        <v/>
      </c>
      <c r="AC51" s="84" t="str">
        <f>IF(G51="","",VLOOKUP($D51,直管換算表!$A$3:$N$11,水理計算シート!AD$31,FALSE)*水理計算シート!G51)</f>
        <v/>
      </c>
      <c r="AD51" s="84" t="str">
        <f>IF(H51="","",VLOOKUP($D51,直管換算表!$A$3:$N$11,水理計算シート!AE$31,FALSE)*水理計算シート!H51)</f>
        <v/>
      </c>
      <c r="AE51" s="84" t="str">
        <f>IF(I51="","",VLOOKUP($D51,直管換算表!$A$3:$N$11,水理計算シート!AF$31,FALSE)*水理計算シート!I51)</f>
        <v/>
      </c>
      <c r="AF51" s="84" t="str">
        <f>IF(J51="","",VLOOKUP($D51,直管換算表!$A$3:$N$11,水理計算シート!AG$31,FALSE)*水理計算シート!J51)</f>
        <v/>
      </c>
      <c r="AG51" s="84" t="str">
        <f>IF(K51="","",VLOOKUP($D51,直管換算表!$A$3:$N$11,水理計算シート!AH$31,FALSE)*水理計算シート!K51)</f>
        <v/>
      </c>
      <c r="AH51" s="84" t="str">
        <f>IF(L51="","",VLOOKUP($D51,直管換算表!$A$3:$N$11,水理計算シート!AI$31,FALSE)*水理計算シート!L51)</f>
        <v/>
      </c>
      <c r="AI51" s="84" t="str">
        <f>IF(M51="","",VLOOKUP($D51,直管換算表!$A$3:$N$11,水理計算シート!AJ$31,FALSE)*水理計算シート!M51)</f>
        <v/>
      </c>
      <c r="AJ51" s="84" t="str">
        <f>IF(N51="","",VLOOKUP($D51,直管換算表!$A$3:$N$11,水理計算シート!AK$31,FALSE)*水理計算シート!N51)</f>
        <v/>
      </c>
      <c r="AK51" s="84" t="str">
        <f>IF(O51="","",VLOOKUP($D51,直管換算表!$A$3:$N$11,水理計算シート!AL$31,FALSE)*水理計算シート!O51)</f>
        <v/>
      </c>
      <c r="AL51" s="84" t="str">
        <f>IF(P51="","",VLOOKUP($D51,直管換算表!$A$3:$N$11,水理計算シート!AM$31,FALSE)*水理計算シート!P51)</f>
        <v/>
      </c>
      <c r="AM51" s="84" t="str">
        <f>IF(Q51="","",VLOOKUP($D51,直管換算表!$A$3:$N$11,水理計算シート!AN$31,FALSE)*水理計算シート!Q51)</f>
        <v/>
      </c>
      <c r="AN51" s="84" t="str">
        <f t="shared" si="20"/>
        <v/>
      </c>
      <c r="AP51" s="117"/>
    </row>
    <row r="52" spans="2:42" ht="24.95" customHeight="1" x14ac:dyDescent="0.15">
      <c r="B52" s="78">
        <v>19</v>
      </c>
      <c r="C52" s="115" t="str">
        <f t="shared" si="14"/>
        <v/>
      </c>
      <c r="D52" s="79" t="str">
        <f t="shared" si="15"/>
        <v/>
      </c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0"/>
      <c r="R52" s="81" t="str">
        <f t="shared" si="16"/>
        <v/>
      </c>
      <c r="S52" s="116" t="str">
        <f t="shared" si="17"/>
        <v/>
      </c>
      <c r="T52" s="83" t="str">
        <f t="shared" si="21"/>
        <v/>
      </c>
      <c r="U52" s="139" t="str">
        <f t="shared" si="22"/>
        <v/>
      </c>
      <c r="V52" s="129" t="str">
        <f t="shared" si="23"/>
        <v/>
      </c>
      <c r="Y52" s="115" t="str">
        <f t="shared" si="18"/>
        <v/>
      </c>
      <c r="Z52" s="115" t="str">
        <f t="shared" si="19"/>
        <v/>
      </c>
      <c r="AA52" s="84" t="str">
        <f>IF(E52="","",VLOOKUP($D52,直管換算表!$A$3:$N$11,水理計算シート!AB$31,FALSE)*水理計算シート!E52)</f>
        <v/>
      </c>
      <c r="AB52" s="84" t="str">
        <f>IF(F52="","",VLOOKUP($D52,直管換算表!$A$3:$N$11,水理計算シート!AC$31,FALSE)*水理計算シート!F52)</f>
        <v/>
      </c>
      <c r="AC52" s="84" t="str">
        <f>IF(G52="","",VLOOKUP($D52,直管換算表!$A$3:$N$11,水理計算シート!AD$31,FALSE)*水理計算シート!G52)</f>
        <v/>
      </c>
      <c r="AD52" s="84" t="str">
        <f>IF(H52="","",VLOOKUP($D52,直管換算表!$A$3:$N$11,水理計算シート!AE$31,FALSE)*水理計算シート!H52)</f>
        <v/>
      </c>
      <c r="AE52" s="84" t="str">
        <f>IF(I52="","",VLOOKUP($D52,直管換算表!$A$3:$N$11,水理計算シート!AF$31,FALSE)*水理計算シート!I52)</f>
        <v/>
      </c>
      <c r="AF52" s="84" t="str">
        <f>IF(J52="","",VLOOKUP($D52,直管換算表!$A$3:$N$11,水理計算シート!AG$31,FALSE)*水理計算シート!J52)</f>
        <v/>
      </c>
      <c r="AG52" s="84" t="str">
        <f>IF(K52="","",VLOOKUP($D52,直管換算表!$A$3:$N$11,水理計算シート!AH$31,FALSE)*水理計算シート!K52)</f>
        <v/>
      </c>
      <c r="AH52" s="84" t="str">
        <f>IF(L52="","",VLOOKUP($D52,直管換算表!$A$3:$N$11,水理計算シート!AI$31,FALSE)*水理計算シート!L52)</f>
        <v/>
      </c>
      <c r="AI52" s="84" t="str">
        <f>IF(M52="","",VLOOKUP($D52,直管換算表!$A$3:$N$11,水理計算シート!AJ$31,FALSE)*水理計算シート!M52)</f>
        <v/>
      </c>
      <c r="AJ52" s="84" t="str">
        <f>IF(N52="","",VLOOKUP($D52,直管換算表!$A$3:$N$11,水理計算シート!AK$31,FALSE)*水理計算シート!N52)</f>
        <v/>
      </c>
      <c r="AK52" s="84" t="str">
        <f>IF(O52="","",VLOOKUP($D52,直管換算表!$A$3:$N$11,水理計算シート!AL$31,FALSE)*水理計算シート!O52)</f>
        <v/>
      </c>
      <c r="AL52" s="84" t="str">
        <f>IF(P52="","",VLOOKUP($D52,直管換算表!$A$3:$N$11,水理計算シート!AM$31,FALSE)*水理計算シート!P52)</f>
        <v/>
      </c>
      <c r="AM52" s="84" t="str">
        <f>IF(Q52="","",VLOOKUP($D52,直管換算表!$A$3:$N$11,水理計算シート!AN$31,FALSE)*水理計算シート!Q52)</f>
        <v/>
      </c>
      <c r="AN52" s="84" t="str">
        <f t="shared" si="20"/>
        <v/>
      </c>
      <c r="AP52" s="117"/>
    </row>
    <row r="53" spans="2:42" ht="24.95" customHeight="1" thickBot="1" x14ac:dyDescent="0.2">
      <c r="B53" s="89">
        <v>20</v>
      </c>
      <c r="C53" s="118" t="str">
        <f t="shared" si="14"/>
        <v/>
      </c>
      <c r="D53" s="90" t="str">
        <f t="shared" si="15"/>
        <v/>
      </c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119" t="str">
        <f t="shared" si="16"/>
        <v/>
      </c>
      <c r="S53" s="116" t="str">
        <f t="shared" si="17"/>
        <v/>
      </c>
      <c r="T53" s="83" t="str">
        <f t="shared" si="21"/>
        <v/>
      </c>
      <c r="U53" s="139" t="str">
        <f t="shared" si="22"/>
        <v/>
      </c>
      <c r="V53" s="129" t="str">
        <f t="shared" si="23"/>
        <v/>
      </c>
      <c r="Y53" s="115" t="str">
        <f t="shared" si="18"/>
        <v/>
      </c>
      <c r="Z53" s="115" t="str">
        <f t="shared" si="19"/>
        <v/>
      </c>
      <c r="AA53" s="84" t="str">
        <f>IF(E53="","",VLOOKUP($D53,直管換算表!$A$3:$N$11,水理計算シート!AB$31,FALSE)*水理計算シート!E53)</f>
        <v/>
      </c>
      <c r="AB53" s="84" t="str">
        <f>IF(F53="","",VLOOKUP($D53,直管換算表!$A$3:$N$11,水理計算シート!AC$31,FALSE)*水理計算シート!F53)</f>
        <v/>
      </c>
      <c r="AC53" s="84" t="str">
        <f>IF(G53="","",VLOOKUP($D53,直管換算表!$A$3:$N$11,水理計算シート!AD$31,FALSE)*水理計算シート!G53)</f>
        <v/>
      </c>
      <c r="AD53" s="84" t="str">
        <f>IF(H53="","",VLOOKUP($D53,直管換算表!$A$3:$N$11,水理計算シート!AE$31,FALSE)*水理計算シート!H53)</f>
        <v/>
      </c>
      <c r="AE53" s="84" t="str">
        <f>IF(I53="","",VLOOKUP($D53,直管換算表!$A$3:$N$11,水理計算シート!AF$31,FALSE)*水理計算シート!I53)</f>
        <v/>
      </c>
      <c r="AF53" s="84" t="str">
        <f>IF(J53="","",VLOOKUP($D53,直管換算表!$A$3:$N$11,水理計算シート!AG$31,FALSE)*水理計算シート!J53)</f>
        <v/>
      </c>
      <c r="AG53" s="84" t="str">
        <f>IF(K53="","",VLOOKUP($D53,直管換算表!$A$3:$N$11,水理計算シート!AH$31,FALSE)*水理計算シート!K53)</f>
        <v/>
      </c>
      <c r="AH53" s="84" t="str">
        <f>IF(L53="","",VLOOKUP($D53,直管換算表!$A$3:$N$11,水理計算シート!AI$31,FALSE)*水理計算シート!L53)</f>
        <v/>
      </c>
      <c r="AI53" s="84" t="str">
        <f>IF(M53="","",VLOOKUP($D53,直管換算表!$A$3:$N$11,水理計算シート!AJ$31,FALSE)*水理計算シート!M53)</f>
        <v/>
      </c>
      <c r="AJ53" s="84" t="str">
        <f>IF(N53="","",VLOOKUP($D53,直管換算表!$A$3:$N$11,水理計算シート!AK$31,FALSE)*水理計算シート!N53)</f>
        <v/>
      </c>
      <c r="AK53" s="84" t="str">
        <f>IF(O53="","",VLOOKUP($D53,直管換算表!$A$3:$N$11,水理計算シート!AL$31,FALSE)*水理計算シート!O53)</f>
        <v/>
      </c>
      <c r="AL53" s="84" t="str">
        <f>IF(P53="","",VLOOKUP($D53,直管換算表!$A$3:$N$11,水理計算シート!AM$31,FALSE)*水理計算シート!P53)</f>
        <v/>
      </c>
      <c r="AM53" s="84" t="str">
        <f>IF(Q53="","",VLOOKUP($D53,直管換算表!$A$3:$N$11,水理計算シート!AN$31,FALSE)*水理計算シート!Q53)</f>
        <v/>
      </c>
      <c r="AN53" s="84" t="str">
        <f t="shared" si="20"/>
        <v/>
      </c>
      <c r="AP53" s="117"/>
    </row>
    <row r="54" spans="2:42" ht="24.95" customHeight="1" thickTop="1" x14ac:dyDescent="0.15">
      <c r="B54" s="268" t="s">
        <v>22</v>
      </c>
      <c r="C54" s="268"/>
      <c r="D54" s="120"/>
      <c r="E54" s="95" t="str">
        <f>IF(SUM(E34:E53)=0,"",SUM(E34:E53))</f>
        <v/>
      </c>
      <c r="F54" s="95" t="str">
        <f t="shared" ref="F54:Q54" si="24">IF(SUM(F34:F53)=0,"",SUM(F34:F53))</f>
        <v/>
      </c>
      <c r="G54" s="95" t="str">
        <f t="shared" si="24"/>
        <v/>
      </c>
      <c r="H54" s="95" t="str">
        <f t="shared" si="24"/>
        <v/>
      </c>
      <c r="I54" s="95" t="str">
        <f t="shared" si="24"/>
        <v/>
      </c>
      <c r="J54" s="95" t="str">
        <f t="shared" si="24"/>
        <v/>
      </c>
      <c r="K54" s="95" t="str">
        <f t="shared" si="24"/>
        <v/>
      </c>
      <c r="L54" s="95" t="str">
        <f t="shared" si="24"/>
        <v/>
      </c>
      <c r="M54" s="95" t="str">
        <f t="shared" si="24"/>
        <v/>
      </c>
      <c r="N54" s="95" t="str">
        <f t="shared" si="24"/>
        <v/>
      </c>
      <c r="O54" s="95" t="str">
        <f t="shared" si="24"/>
        <v/>
      </c>
      <c r="P54" s="95" t="str">
        <f t="shared" si="24"/>
        <v/>
      </c>
      <c r="Q54" s="95" t="str">
        <f t="shared" si="24"/>
        <v/>
      </c>
      <c r="R54" s="96">
        <f t="shared" ref="R54:S54" si="25">SUM(R34:R53)</f>
        <v>0</v>
      </c>
      <c r="S54" s="121">
        <f t="shared" si="25"/>
        <v>0</v>
      </c>
      <c r="T54" s="122">
        <f>SUM(T34:T53)</f>
        <v>0</v>
      </c>
      <c r="U54" s="138">
        <f>SUM(U34:U53)</f>
        <v>0</v>
      </c>
      <c r="V54" s="130">
        <f>SUM(V34:V53)</f>
        <v>0</v>
      </c>
      <c r="Z54" s="47"/>
      <c r="AA54" s="47"/>
      <c r="AB54" s="47"/>
      <c r="AC54" s="47"/>
      <c r="AI54" s="47"/>
    </row>
    <row r="55" spans="2:42" ht="9" customHeight="1" x14ac:dyDescent="0.4"/>
    <row r="57" spans="2:42" ht="15" x14ac:dyDescent="0.4"/>
  </sheetData>
  <sheetProtection algorithmName="SHA-512" hashValue="CWx8zUeFktizrbJVJayytS9qYigw8D6pQeQ2CM/6uGC7Tn8C9jtu2EkuHpIt44SZXrBTeT2Mrbd4kAkXHl2SNQ==" saltValue="zMKCJnA6aA4ldWApUakCZw==" spinCount="100000" sheet="1" objects="1" scenarios="1" selectLockedCells="1"/>
  <mergeCells count="49">
    <mergeCell ref="B1:W1"/>
    <mergeCell ref="AA7:AB7"/>
    <mergeCell ref="Y7:Z7"/>
    <mergeCell ref="Y6:Z6"/>
    <mergeCell ref="AA6:AB6"/>
    <mergeCell ref="O4:P4"/>
    <mergeCell ref="R7:S7"/>
    <mergeCell ref="H7:I7"/>
    <mergeCell ref="O7:P7"/>
    <mergeCell ref="M7:N7"/>
    <mergeCell ref="C7:C8"/>
    <mergeCell ref="L32:L33"/>
    <mergeCell ref="B4:C4"/>
    <mergeCell ref="B31:E31"/>
    <mergeCell ref="B6:C6"/>
    <mergeCell ref="E32:E33"/>
    <mergeCell ref="B7:B8"/>
    <mergeCell ref="E7:F7"/>
    <mergeCell ref="D6:F6"/>
    <mergeCell ref="E29:G29"/>
    <mergeCell ref="B32:B33"/>
    <mergeCell ref="C32:C33"/>
    <mergeCell ref="B29:C29"/>
    <mergeCell ref="Q32:Q33"/>
    <mergeCell ref="P32:P33"/>
    <mergeCell ref="O32:O33"/>
    <mergeCell ref="N32:N33"/>
    <mergeCell ref="M32:M33"/>
    <mergeCell ref="AA32:AA33"/>
    <mergeCell ref="AB32:AB33"/>
    <mergeCell ref="AC32:AC33"/>
    <mergeCell ref="AD32:AD33"/>
    <mergeCell ref="Y32:Y33"/>
    <mergeCell ref="B54:C54"/>
    <mergeCell ref="K32:K33"/>
    <mergeCell ref="J32:J33"/>
    <mergeCell ref="I32:I33"/>
    <mergeCell ref="H32:H33"/>
    <mergeCell ref="G32:G33"/>
    <mergeCell ref="F32:F33"/>
    <mergeCell ref="AJ32:AJ33"/>
    <mergeCell ref="AK32:AK33"/>
    <mergeCell ref="AL32:AL33"/>
    <mergeCell ref="AM32:AM33"/>
    <mergeCell ref="AE32:AE33"/>
    <mergeCell ref="AF32:AF33"/>
    <mergeCell ref="AG32:AG33"/>
    <mergeCell ref="AH32:AH33"/>
    <mergeCell ref="AI32:AI33"/>
  </mergeCells>
  <phoneticPr fontId="2"/>
  <conditionalFormatting sqref="Q9:Q28">
    <cfRule type="containsBlanks" dxfId="13" priority="20">
      <formula>LEN(TRIM(Q9))=0</formula>
    </cfRule>
    <cfRule type="cellIs" dxfId="12" priority="24" operator="greaterThan">
      <formula>2</formula>
    </cfRule>
  </conditionalFormatting>
  <conditionalFormatting sqref="M4">
    <cfRule type="cellIs" dxfId="11" priority="8" operator="lessThan">
      <formula>0.05</formula>
    </cfRule>
  </conditionalFormatting>
  <conditionalFormatting sqref="Q4">
    <cfRule type="cellIs" dxfId="10" priority="7" operator="greaterThan">
      <formula>2</formula>
    </cfRule>
  </conditionalFormatting>
  <conditionalFormatting sqref="E34:Q53">
    <cfRule type="expression" dxfId="9" priority="18">
      <formula>$D34=""</formula>
    </cfRule>
  </conditionalFormatting>
  <conditionalFormatting sqref="J9:J28">
    <cfRule type="containsBlanks" dxfId="8" priority="22">
      <formula>LEN(TRIM(J9))=0</formula>
    </cfRule>
    <cfRule type="cellIs" dxfId="7" priority="23" operator="greaterThan">
      <formula>2</formula>
    </cfRule>
  </conditionalFormatting>
  <dataValidations count="2">
    <dataValidation type="whole" allowBlank="1" showInputMessage="1" showErrorMessage="1" sqref="D9:D28 E34:Q53" xr:uid="{B5E93E26-F286-4BDE-A585-BBB38CB1FFAD}">
      <formula1>0</formula1>
      <formula2>20</formula2>
    </dataValidation>
    <dataValidation type="decimal" allowBlank="1" showInputMessage="1" showErrorMessage="1" sqref="D4" xr:uid="{A1A7027D-E148-44FE-9F86-0594C9B29BA2}">
      <formula1>0.15</formula1>
      <formula2>0.74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A25D9-43A8-4CCB-A361-A9FA3A216988}">
          <x14:formula1>
            <xm:f>直管換算表!$A$3:$A$11</xm:f>
          </x14:formula1>
          <xm:sqref>M9:M28 E9:E28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ECF6-D84B-4F67-875B-E55C0DBF358B}">
  <sheetPr>
    <tabColor rgb="FFFF0000"/>
    <pageSetUpPr fitToPage="1"/>
  </sheetPr>
  <dimension ref="B1:AT57"/>
  <sheetViews>
    <sheetView showGridLines="0" showRowColHeaders="0" zoomScale="70" zoomScaleNormal="70" zoomScaleSheetLayoutView="70" workbookViewId="0">
      <selection activeCell="G11" sqref="G11"/>
    </sheetView>
  </sheetViews>
  <sheetFormatPr defaultColWidth="13.625" defaultRowHeight="24.95" customHeight="1" x14ac:dyDescent="0.4"/>
  <cols>
    <col min="1" max="1" width="1.875" style="143" customWidth="1"/>
    <col min="2" max="2" width="5.5" style="143" bestFit="1" customWidth="1"/>
    <col min="3" max="3" width="11.875" style="143" customWidth="1"/>
    <col min="4" max="4" width="10.875" style="158" bestFit="1" customWidth="1"/>
    <col min="5" max="5" width="9.875" style="158" bestFit="1" customWidth="1"/>
    <col min="6" max="6" width="12.125" style="158" bestFit="1" customWidth="1"/>
    <col min="7" max="7" width="11.875" style="158" bestFit="1" customWidth="1"/>
    <col min="8" max="9" width="13.375" style="143" bestFit="1" customWidth="1"/>
    <col min="10" max="10" width="10.375" style="143" customWidth="1"/>
    <col min="11" max="11" width="13.375" style="143" bestFit="1" customWidth="1"/>
    <col min="12" max="12" width="12.625" style="143" bestFit="1" customWidth="1"/>
    <col min="13" max="13" width="11.625" style="143" customWidth="1"/>
    <col min="14" max="14" width="10.625" style="158" bestFit="1" customWidth="1"/>
    <col min="15" max="17" width="10.875" style="143" bestFit="1" customWidth="1"/>
    <col min="18" max="18" width="11.875" style="143" bestFit="1" customWidth="1"/>
    <col min="19" max="19" width="11" style="143" customWidth="1"/>
    <col min="20" max="20" width="11.875" style="143" customWidth="1"/>
    <col min="21" max="21" width="12" style="143" customWidth="1"/>
    <col min="22" max="22" width="11.875" style="143" customWidth="1"/>
    <col min="23" max="23" width="1.625" style="143" customWidth="1"/>
    <col min="24" max="24" width="11" style="143" bestFit="1" customWidth="1"/>
    <col min="25" max="40" width="11.875" style="143" customWidth="1"/>
    <col min="41" max="41" width="12.25" style="143" customWidth="1"/>
    <col min="42" max="42" width="11.875" style="143" bestFit="1" customWidth="1"/>
    <col min="43" max="43" width="9.875" style="143" bestFit="1" customWidth="1"/>
    <col min="44" max="16384" width="13.625" style="143"/>
  </cols>
  <sheetData>
    <row r="1" spans="2:45" ht="31.5" thickBot="1" x14ac:dyDescent="0.45">
      <c r="B1" s="315" t="s">
        <v>109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2:45" ht="24.95" customHeight="1" thickTop="1" thickBot="1" x14ac:dyDescent="0.45">
      <c r="C2" s="144" t="s">
        <v>103</v>
      </c>
      <c r="D2" s="143"/>
      <c r="E2" s="143"/>
      <c r="F2" s="143"/>
      <c r="G2" s="143"/>
      <c r="N2" s="143"/>
      <c r="P2" s="145"/>
    </row>
    <row r="3" spans="2:45" ht="24.95" customHeight="1" thickTop="1" thickBot="1" x14ac:dyDescent="0.45">
      <c r="D3" s="143"/>
      <c r="E3" s="143"/>
      <c r="F3" s="143"/>
      <c r="G3" s="143"/>
      <c r="N3" s="143"/>
      <c r="P3" s="145"/>
    </row>
    <row r="4" spans="2:45" ht="30" customHeight="1" thickTop="1" thickBot="1" x14ac:dyDescent="0.45">
      <c r="B4" s="316" t="s">
        <v>74</v>
      </c>
      <c r="C4" s="317"/>
      <c r="D4" s="146">
        <v>0.2</v>
      </c>
      <c r="E4" s="147" t="s">
        <v>19</v>
      </c>
      <c r="F4" s="148" t="s">
        <v>81</v>
      </c>
      <c r="G4" s="149">
        <f>U54</f>
        <v>13.128872573870719</v>
      </c>
      <c r="H4" s="150" t="s">
        <v>17</v>
      </c>
      <c r="I4" s="148" t="s">
        <v>82</v>
      </c>
      <c r="J4" s="151">
        <f>V54</f>
        <v>0.12866295122393306</v>
      </c>
      <c r="K4" s="152" t="s">
        <v>19</v>
      </c>
      <c r="L4" s="153" t="s">
        <v>106</v>
      </c>
      <c r="M4" s="154">
        <f>D4-J4</f>
        <v>7.1337048776066947E-2</v>
      </c>
      <c r="N4" s="155" t="s">
        <v>19</v>
      </c>
      <c r="O4" s="318" t="s">
        <v>31</v>
      </c>
      <c r="P4" s="319"/>
      <c r="Q4" s="154">
        <f>MAX(J9:J28,Q9:Q28)</f>
        <v>1.7507043740108488</v>
      </c>
      <c r="R4" s="155" t="s">
        <v>15</v>
      </c>
      <c r="S4" s="156" t="s">
        <v>0</v>
      </c>
      <c r="T4" s="157" t="str">
        <f>IF(OR(M4&lt;0,Q4&gt;2),"×","○")</f>
        <v>○</v>
      </c>
    </row>
    <row r="5" spans="2:45" ht="24.95" customHeight="1" thickTop="1" thickBot="1" x14ac:dyDescent="0.2">
      <c r="D5" s="143"/>
      <c r="F5" s="159"/>
      <c r="G5" s="160"/>
      <c r="H5" s="161"/>
      <c r="I5" s="159"/>
      <c r="J5" s="160"/>
      <c r="K5" s="161"/>
      <c r="L5" s="162"/>
      <c r="M5" s="163">
        <v>0.05</v>
      </c>
      <c r="N5" s="164" t="s">
        <v>29</v>
      </c>
      <c r="O5" s="165"/>
      <c r="P5" s="165"/>
      <c r="Q5" s="163">
        <v>2</v>
      </c>
      <c r="R5" s="166" t="s">
        <v>69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7"/>
      <c r="AS5" s="168"/>
    </row>
    <row r="6" spans="2:45" ht="24.95" customHeight="1" thickTop="1" thickBot="1" x14ac:dyDescent="0.25">
      <c r="B6" s="303" t="s">
        <v>80</v>
      </c>
      <c r="C6" s="303"/>
      <c r="D6" s="320" t="s">
        <v>67</v>
      </c>
      <c r="E6" s="321"/>
      <c r="F6" s="321"/>
      <c r="G6" s="169">
        <v>15</v>
      </c>
      <c r="H6" s="170" t="s">
        <v>13</v>
      </c>
      <c r="I6" s="171"/>
      <c r="L6" s="265" t="s">
        <v>112</v>
      </c>
      <c r="M6" s="265">
        <v>7.0000000000000007E-2</v>
      </c>
      <c r="N6" s="265" t="s">
        <v>111</v>
      </c>
      <c r="O6" s="158"/>
      <c r="Y6" s="304" t="s">
        <v>64</v>
      </c>
      <c r="Z6" s="304"/>
      <c r="AA6" s="304" t="s">
        <v>65</v>
      </c>
      <c r="AB6" s="304"/>
    </row>
    <row r="7" spans="2:45" s="180" customFormat="1" ht="76.5" customHeight="1" thickTop="1" thickBot="1" x14ac:dyDescent="0.45">
      <c r="B7" s="305" t="s">
        <v>12</v>
      </c>
      <c r="C7" s="307" t="s">
        <v>61</v>
      </c>
      <c r="D7" s="172" t="s">
        <v>32</v>
      </c>
      <c r="E7" s="308" t="s">
        <v>75</v>
      </c>
      <c r="F7" s="309"/>
      <c r="G7" s="173" t="s">
        <v>102</v>
      </c>
      <c r="H7" s="310" t="s">
        <v>101</v>
      </c>
      <c r="I7" s="309"/>
      <c r="J7" s="174" t="s">
        <v>18</v>
      </c>
      <c r="K7" s="175" t="s">
        <v>70</v>
      </c>
      <c r="L7" s="172" t="s">
        <v>71</v>
      </c>
      <c r="M7" s="311" t="s">
        <v>72</v>
      </c>
      <c r="N7" s="312"/>
      <c r="O7" s="313" t="s">
        <v>24</v>
      </c>
      <c r="P7" s="312"/>
      <c r="Q7" s="174" t="s">
        <v>18</v>
      </c>
      <c r="R7" s="314" t="s">
        <v>62</v>
      </c>
      <c r="S7" s="299"/>
      <c r="T7" s="172" t="s">
        <v>23</v>
      </c>
      <c r="U7" s="176"/>
      <c r="V7" s="177"/>
      <c r="W7" s="178"/>
      <c r="X7" s="179"/>
      <c r="Y7" s="307" t="s">
        <v>63</v>
      </c>
      <c r="Z7" s="299"/>
      <c r="AA7" s="314" t="s">
        <v>26</v>
      </c>
      <c r="AB7" s="299"/>
      <c r="AO7" s="177"/>
    </row>
    <row r="8" spans="2:45" s="180" customFormat="1" ht="24.95" customHeight="1" thickTop="1" thickBot="1" x14ac:dyDescent="0.2">
      <c r="B8" s="306"/>
      <c r="C8" s="306"/>
      <c r="D8" s="181" t="s">
        <v>16</v>
      </c>
      <c r="E8" s="182" t="s">
        <v>20</v>
      </c>
      <c r="F8" s="183" t="s">
        <v>17</v>
      </c>
      <c r="G8" s="181" t="s">
        <v>13</v>
      </c>
      <c r="H8" s="183" t="s">
        <v>14</v>
      </c>
      <c r="I8" s="183" t="s">
        <v>15</v>
      </c>
      <c r="J8" s="184" t="s">
        <v>68</v>
      </c>
      <c r="K8" s="185" t="s">
        <v>17</v>
      </c>
      <c r="L8" s="181" t="s">
        <v>17</v>
      </c>
      <c r="M8" s="182" t="s">
        <v>20</v>
      </c>
      <c r="N8" s="183" t="s">
        <v>17</v>
      </c>
      <c r="O8" s="183" t="s">
        <v>13</v>
      </c>
      <c r="P8" s="183" t="s">
        <v>15</v>
      </c>
      <c r="Q8" s="184" t="s">
        <v>21</v>
      </c>
      <c r="R8" s="183"/>
      <c r="S8" s="186" t="s">
        <v>39</v>
      </c>
      <c r="T8" s="187" t="s">
        <v>17</v>
      </c>
      <c r="U8" s="188"/>
      <c r="V8" s="178"/>
      <c r="W8" s="178"/>
      <c r="X8" s="189" t="s">
        <v>66</v>
      </c>
      <c r="Y8" s="190">
        <v>130</v>
      </c>
      <c r="Z8" s="191" t="s">
        <v>39</v>
      </c>
      <c r="AA8" s="183"/>
      <c r="AB8" s="186" t="s">
        <v>39</v>
      </c>
      <c r="AO8" s="178"/>
    </row>
    <row r="9" spans="2:45" s="207" customFormat="1" ht="24.95" customHeight="1" thickTop="1" x14ac:dyDescent="0.15">
      <c r="B9" s="192">
        <v>1</v>
      </c>
      <c r="C9" s="193" t="str">
        <f>IF(AND(D9="",G9=""),"",直管換算表!F16&amp;"～"&amp;直管換算表!F17)</f>
        <v>Ａ～Ｂ</v>
      </c>
      <c r="D9" s="194">
        <v>1</v>
      </c>
      <c r="E9" s="195">
        <v>20</v>
      </c>
      <c r="F9" s="196">
        <f>IF(E9="","",E9/1000)</f>
        <v>0.02</v>
      </c>
      <c r="G9" s="197"/>
      <c r="H9" s="198">
        <f t="shared" ref="H9:H28" si="0">IF(AND(D9="",G9=""),"",IF(G9="",$G$6*D9,G9))</f>
        <v>15</v>
      </c>
      <c r="I9" s="199">
        <f>IF(H9="","",H9/60000)</f>
        <v>2.5000000000000001E-4</v>
      </c>
      <c r="J9" s="196">
        <f>IFERROR(I9/(PI()*(F9/2)^2),"")</f>
        <v>0.79577471545947676</v>
      </c>
      <c r="K9" s="200">
        <f>0.5+2+3.5+0.5</f>
        <v>6.5</v>
      </c>
      <c r="L9" s="201">
        <v>2</v>
      </c>
      <c r="M9" s="195">
        <v>20</v>
      </c>
      <c r="N9" s="202">
        <f>IF(M9="","",M9/1000)</f>
        <v>0.02</v>
      </c>
      <c r="O9" s="203">
        <f>IF(H9="","",SUM($H$9:H9))</f>
        <v>15</v>
      </c>
      <c r="P9" s="199">
        <f>IFERROR(O9/60000,"")</f>
        <v>2.5000000000000001E-4</v>
      </c>
      <c r="Q9" s="202">
        <f t="shared" ref="Q9:Q28" si="1">IFERROR(P9/(PI()*(N9/2)^2),"")</f>
        <v>0.79577471545947676</v>
      </c>
      <c r="R9" s="199">
        <f t="shared" ref="R9:R28" si="2">IF(M9&lt;=50,AA9,Y9)</f>
        <v>4.7909652656575652E-2</v>
      </c>
      <c r="S9" s="204">
        <f>IFERROR(R9*1000,"")</f>
        <v>47.909652656575652</v>
      </c>
      <c r="T9" s="204">
        <f>IFERROR(K9*R9,"")</f>
        <v>0.31141274226774174</v>
      </c>
      <c r="U9" s="205"/>
      <c r="V9" s="160"/>
      <c r="W9" s="161"/>
      <c r="X9" s="143"/>
      <c r="Y9" s="206">
        <f t="shared" ref="Y9:Y28" si="3">IFERROR(10.666*$Y$8^(-1.85)*N9^(-4.87)*P9^(1.85),"")</f>
        <v>5.3380091604837997E-2</v>
      </c>
      <c r="Z9" s="204">
        <f>IFERROR(Y9*1000,"")</f>
        <v>53.380091604837993</v>
      </c>
      <c r="AA9" s="199">
        <f t="shared" ref="AA9:AA28" si="4">IFERROR((0.0126+(0.01739-(0.1087*N9))/(SQRT(Q9)))*(1/N9)*((Q9)^2)/(9.8*2),"")</f>
        <v>4.7909652656575652E-2</v>
      </c>
      <c r="AB9" s="204">
        <f>IFERROR(AA9*1000,"")</f>
        <v>47.909652656575652</v>
      </c>
      <c r="AO9" s="165"/>
    </row>
    <row r="10" spans="2:45" s="207" customFormat="1" ht="24.95" customHeight="1" x14ac:dyDescent="0.15">
      <c r="B10" s="192">
        <v>2</v>
      </c>
      <c r="C10" s="193" t="str">
        <f>IF(AND(D10="",G10=""),"",直管換算表!F17&amp;"～"&amp;直管換算表!F18)</f>
        <v>Ｂ～Ｃ</v>
      </c>
      <c r="D10" s="208">
        <v>1</v>
      </c>
      <c r="E10" s="209">
        <v>13</v>
      </c>
      <c r="F10" s="196">
        <f t="shared" ref="F10:F28" si="5">IF(E10="","",E10/1000)</f>
        <v>1.2999999999999999E-2</v>
      </c>
      <c r="G10" s="210">
        <v>10</v>
      </c>
      <c r="H10" s="198">
        <f t="shared" si="0"/>
        <v>10</v>
      </c>
      <c r="I10" s="199">
        <f t="shared" ref="I10:I28" si="6">IF(H10="","",H10/60000)</f>
        <v>1.6666666666666666E-4</v>
      </c>
      <c r="J10" s="196">
        <f t="shared" ref="J10:J28" si="7">IFERROR(I10/(PI()*(F10/2)^2),"")</f>
        <v>1.255660300527774</v>
      </c>
      <c r="K10" s="211"/>
      <c r="L10" s="212"/>
      <c r="M10" s="213">
        <v>20</v>
      </c>
      <c r="N10" s="202">
        <f t="shared" ref="N10:N28" si="8">IF(M10="","",M10/1000)</f>
        <v>0.02</v>
      </c>
      <c r="O10" s="203">
        <f>IF(H10="","",SUM($H$9:H10))</f>
        <v>25</v>
      </c>
      <c r="P10" s="199">
        <f t="shared" ref="P10:P28" si="9">IFERROR(O10/60000,"")</f>
        <v>4.1666666666666669E-4</v>
      </c>
      <c r="Q10" s="202">
        <f t="shared" si="1"/>
        <v>1.3262911924324612</v>
      </c>
      <c r="R10" s="199">
        <f t="shared" si="2"/>
        <v>0.11582965282139379</v>
      </c>
      <c r="S10" s="204">
        <f t="shared" ref="S10:S28" si="10">IFERROR(R10*1000,"")</f>
        <v>115.82965282139379</v>
      </c>
      <c r="T10" s="204">
        <f t="shared" ref="T10:T28" si="11">IFERROR(K10*R10,"")</f>
        <v>0</v>
      </c>
      <c r="U10" s="205"/>
      <c r="V10" s="160"/>
      <c r="W10" s="161"/>
      <c r="X10" s="143"/>
      <c r="Y10" s="199">
        <f t="shared" si="3"/>
        <v>0.13734077746177292</v>
      </c>
      <c r="Z10" s="204">
        <f t="shared" ref="Z10:Z28" si="12">IFERROR(Y10*1000,"")</f>
        <v>137.34077746177292</v>
      </c>
      <c r="AA10" s="199">
        <f t="shared" si="4"/>
        <v>0.11582965282139379</v>
      </c>
      <c r="AB10" s="204">
        <f t="shared" ref="AB10:AB28" si="13">IFERROR(AA10*1000,"")</f>
        <v>115.82965282139379</v>
      </c>
      <c r="AO10" s="165"/>
    </row>
    <row r="11" spans="2:45" s="207" customFormat="1" ht="24.95" customHeight="1" x14ac:dyDescent="0.15">
      <c r="B11" s="192">
        <v>3</v>
      </c>
      <c r="C11" s="193" t="str">
        <f>IF(AND(D11="",G11=""),"",直管換算表!F18&amp;"～"&amp;直管換算表!F19)</f>
        <v>Ｃ～Ｄ</v>
      </c>
      <c r="D11" s="208">
        <v>1</v>
      </c>
      <c r="E11" s="209">
        <v>13</v>
      </c>
      <c r="F11" s="196">
        <f t="shared" si="5"/>
        <v>1.2999999999999999E-2</v>
      </c>
      <c r="G11" s="210">
        <v>8</v>
      </c>
      <c r="H11" s="198">
        <f t="shared" si="0"/>
        <v>8</v>
      </c>
      <c r="I11" s="199">
        <f t="shared" si="6"/>
        <v>1.3333333333333334E-4</v>
      </c>
      <c r="J11" s="196">
        <f t="shared" si="7"/>
        <v>1.0045282404222193</v>
      </c>
      <c r="K11" s="211">
        <f>3.5+0.5+4.6+10+0.15+0.6+0.6+0.45+0.3+0.5+0.3+2.5</f>
        <v>24.000000000000004</v>
      </c>
      <c r="L11" s="212">
        <v>0.75</v>
      </c>
      <c r="M11" s="213">
        <v>20</v>
      </c>
      <c r="N11" s="202">
        <f t="shared" si="8"/>
        <v>0.02</v>
      </c>
      <c r="O11" s="203">
        <f>IF(H11="","",SUM($H$9:H11))</f>
        <v>33</v>
      </c>
      <c r="P11" s="199">
        <f t="shared" si="9"/>
        <v>5.5000000000000003E-4</v>
      </c>
      <c r="Q11" s="202">
        <f t="shared" si="1"/>
        <v>1.7507043740108488</v>
      </c>
      <c r="R11" s="199">
        <f t="shared" si="2"/>
        <v>0.18843207047533486</v>
      </c>
      <c r="S11" s="204">
        <f t="shared" si="10"/>
        <v>188.43207047533485</v>
      </c>
      <c r="T11" s="204">
        <f t="shared" si="11"/>
        <v>4.5223696914080378</v>
      </c>
      <c r="U11" s="205"/>
      <c r="V11" s="160"/>
      <c r="W11" s="161"/>
      <c r="X11" s="143"/>
      <c r="Y11" s="199">
        <f t="shared" si="3"/>
        <v>0.2295415311483297</v>
      </c>
      <c r="Z11" s="204">
        <f t="shared" si="12"/>
        <v>229.54153114832971</v>
      </c>
      <c r="AA11" s="199">
        <f t="shared" si="4"/>
        <v>0.18843207047533486</v>
      </c>
      <c r="AB11" s="204">
        <f t="shared" si="13"/>
        <v>188.43207047533485</v>
      </c>
      <c r="AO11" s="165"/>
    </row>
    <row r="12" spans="2:45" s="207" customFormat="1" ht="24.95" customHeight="1" x14ac:dyDescent="0.15">
      <c r="B12" s="192">
        <v>4</v>
      </c>
      <c r="C12" s="193" t="str">
        <f>IF(AND(D12="",G12=""),"",直管換算表!F19&amp;"～"&amp;直管換算表!F20)</f>
        <v/>
      </c>
      <c r="D12" s="208"/>
      <c r="E12" s="209"/>
      <c r="F12" s="196" t="str">
        <f t="shared" si="5"/>
        <v/>
      </c>
      <c r="G12" s="210"/>
      <c r="H12" s="198" t="str">
        <f t="shared" si="0"/>
        <v/>
      </c>
      <c r="I12" s="199" t="str">
        <f t="shared" si="6"/>
        <v/>
      </c>
      <c r="J12" s="196" t="str">
        <f t="shared" si="7"/>
        <v/>
      </c>
      <c r="K12" s="211"/>
      <c r="L12" s="212"/>
      <c r="M12" s="213"/>
      <c r="N12" s="202" t="str">
        <f t="shared" si="8"/>
        <v/>
      </c>
      <c r="O12" s="203" t="str">
        <f>IF(H12="","",SUM($H$9:H12))</f>
        <v/>
      </c>
      <c r="P12" s="199" t="str">
        <f t="shared" si="9"/>
        <v/>
      </c>
      <c r="Q12" s="202" t="str">
        <f t="shared" si="1"/>
        <v/>
      </c>
      <c r="R12" s="199" t="str">
        <f t="shared" si="2"/>
        <v/>
      </c>
      <c r="S12" s="204" t="str">
        <f t="shared" si="10"/>
        <v/>
      </c>
      <c r="T12" s="204" t="str">
        <f t="shared" si="11"/>
        <v/>
      </c>
      <c r="U12" s="205"/>
      <c r="V12" s="160"/>
      <c r="W12" s="161"/>
      <c r="X12" s="143"/>
      <c r="Y12" s="199" t="str">
        <f t="shared" si="3"/>
        <v/>
      </c>
      <c r="Z12" s="204" t="str">
        <f t="shared" si="12"/>
        <v/>
      </c>
      <c r="AA12" s="199" t="str">
        <f t="shared" si="4"/>
        <v/>
      </c>
      <c r="AB12" s="204" t="str">
        <f t="shared" si="13"/>
        <v/>
      </c>
      <c r="AO12" s="165"/>
    </row>
    <row r="13" spans="2:45" s="207" customFormat="1" ht="24.95" customHeight="1" x14ac:dyDescent="0.15">
      <c r="B13" s="192">
        <v>5</v>
      </c>
      <c r="C13" s="193" t="str">
        <f>IF(AND(D13="",G13=""),"",直管換算表!F20&amp;"～"&amp;直管換算表!F21)</f>
        <v/>
      </c>
      <c r="D13" s="208"/>
      <c r="E13" s="209"/>
      <c r="F13" s="196" t="str">
        <f t="shared" si="5"/>
        <v/>
      </c>
      <c r="G13" s="210"/>
      <c r="H13" s="198" t="str">
        <f t="shared" si="0"/>
        <v/>
      </c>
      <c r="I13" s="199" t="str">
        <f t="shared" si="6"/>
        <v/>
      </c>
      <c r="J13" s="196" t="str">
        <f t="shared" si="7"/>
        <v/>
      </c>
      <c r="K13" s="211"/>
      <c r="L13" s="212"/>
      <c r="M13" s="213"/>
      <c r="N13" s="202" t="str">
        <f t="shared" si="8"/>
        <v/>
      </c>
      <c r="O13" s="203" t="str">
        <f>IF(H13="","",SUM($H$9:H13))</f>
        <v/>
      </c>
      <c r="P13" s="199" t="str">
        <f t="shared" si="9"/>
        <v/>
      </c>
      <c r="Q13" s="202" t="str">
        <f t="shared" si="1"/>
        <v/>
      </c>
      <c r="R13" s="199" t="str">
        <f t="shared" si="2"/>
        <v/>
      </c>
      <c r="S13" s="204" t="str">
        <f t="shared" si="10"/>
        <v/>
      </c>
      <c r="T13" s="204" t="str">
        <f t="shared" si="11"/>
        <v/>
      </c>
      <c r="U13" s="205"/>
      <c r="V13" s="160"/>
      <c r="W13" s="161"/>
      <c r="X13" s="143"/>
      <c r="Y13" s="199" t="str">
        <f t="shared" si="3"/>
        <v/>
      </c>
      <c r="Z13" s="204" t="str">
        <f t="shared" si="12"/>
        <v/>
      </c>
      <c r="AA13" s="199" t="str">
        <f t="shared" si="4"/>
        <v/>
      </c>
      <c r="AB13" s="204" t="str">
        <f t="shared" si="13"/>
        <v/>
      </c>
      <c r="AO13" s="165"/>
    </row>
    <row r="14" spans="2:45" s="207" customFormat="1" ht="24.95" customHeight="1" x14ac:dyDescent="0.15">
      <c r="B14" s="192">
        <v>6</v>
      </c>
      <c r="C14" s="193" t="str">
        <f>IF(AND(D14="",G14=""),"",直管換算表!F21&amp;"～"&amp;直管換算表!F22)</f>
        <v/>
      </c>
      <c r="D14" s="208"/>
      <c r="E14" s="209"/>
      <c r="F14" s="196" t="str">
        <f t="shared" si="5"/>
        <v/>
      </c>
      <c r="G14" s="210"/>
      <c r="H14" s="198" t="str">
        <f t="shared" si="0"/>
        <v/>
      </c>
      <c r="I14" s="199" t="str">
        <f t="shared" si="6"/>
        <v/>
      </c>
      <c r="J14" s="196" t="str">
        <f t="shared" si="7"/>
        <v/>
      </c>
      <c r="K14" s="211"/>
      <c r="L14" s="212"/>
      <c r="M14" s="213"/>
      <c r="N14" s="202" t="str">
        <f t="shared" si="8"/>
        <v/>
      </c>
      <c r="O14" s="203" t="str">
        <f>IF(H14="","",SUM($H$9:H14))</f>
        <v/>
      </c>
      <c r="P14" s="199" t="str">
        <f t="shared" si="9"/>
        <v/>
      </c>
      <c r="Q14" s="202" t="str">
        <f t="shared" si="1"/>
        <v/>
      </c>
      <c r="R14" s="199" t="str">
        <f t="shared" si="2"/>
        <v/>
      </c>
      <c r="S14" s="204" t="str">
        <f t="shared" si="10"/>
        <v/>
      </c>
      <c r="T14" s="204" t="str">
        <f t="shared" si="11"/>
        <v/>
      </c>
      <c r="U14" s="205"/>
      <c r="V14" s="160"/>
      <c r="W14" s="161"/>
      <c r="X14" s="143"/>
      <c r="Y14" s="199" t="str">
        <f t="shared" si="3"/>
        <v/>
      </c>
      <c r="Z14" s="204" t="str">
        <f t="shared" si="12"/>
        <v/>
      </c>
      <c r="AA14" s="199" t="str">
        <f t="shared" si="4"/>
        <v/>
      </c>
      <c r="AB14" s="204" t="str">
        <f t="shared" si="13"/>
        <v/>
      </c>
      <c r="AO14" s="165"/>
    </row>
    <row r="15" spans="2:45" s="207" customFormat="1" ht="24.95" customHeight="1" x14ac:dyDescent="0.15">
      <c r="B15" s="192">
        <v>7</v>
      </c>
      <c r="C15" s="193" t="str">
        <f>IF(AND(D15="",G15=""),"",直管換算表!F22&amp;"～"&amp;直管換算表!F23)</f>
        <v/>
      </c>
      <c r="D15" s="208"/>
      <c r="E15" s="209"/>
      <c r="F15" s="196" t="str">
        <f t="shared" si="5"/>
        <v/>
      </c>
      <c r="G15" s="210"/>
      <c r="H15" s="198" t="str">
        <f t="shared" si="0"/>
        <v/>
      </c>
      <c r="I15" s="199" t="str">
        <f t="shared" si="6"/>
        <v/>
      </c>
      <c r="J15" s="196" t="str">
        <f t="shared" si="7"/>
        <v/>
      </c>
      <c r="K15" s="211"/>
      <c r="L15" s="212"/>
      <c r="M15" s="213"/>
      <c r="N15" s="202" t="str">
        <f t="shared" si="8"/>
        <v/>
      </c>
      <c r="O15" s="203" t="str">
        <f>IF(H15="","",SUM($H$9:H15))</f>
        <v/>
      </c>
      <c r="P15" s="199" t="str">
        <f t="shared" si="9"/>
        <v/>
      </c>
      <c r="Q15" s="202" t="str">
        <f t="shared" si="1"/>
        <v/>
      </c>
      <c r="R15" s="199" t="str">
        <f t="shared" si="2"/>
        <v/>
      </c>
      <c r="S15" s="204" t="str">
        <f t="shared" si="10"/>
        <v/>
      </c>
      <c r="T15" s="204" t="str">
        <f t="shared" si="11"/>
        <v/>
      </c>
      <c r="U15" s="205"/>
      <c r="V15" s="160"/>
      <c r="W15" s="161"/>
      <c r="X15" s="143"/>
      <c r="Y15" s="199" t="str">
        <f t="shared" si="3"/>
        <v/>
      </c>
      <c r="Z15" s="204" t="str">
        <f t="shared" si="12"/>
        <v/>
      </c>
      <c r="AA15" s="199" t="str">
        <f t="shared" si="4"/>
        <v/>
      </c>
      <c r="AB15" s="204" t="str">
        <f t="shared" si="13"/>
        <v/>
      </c>
      <c r="AO15" s="165"/>
    </row>
    <row r="16" spans="2:45" s="207" customFormat="1" ht="24.95" customHeight="1" x14ac:dyDescent="0.15">
      <c r="B16" s="192">
        <v>8</v>
      </c>
      <c r="C16" s="193" t="str">
        <f>IF(AND(D16="",G16=""),"",直管換算表!F23&amp;"～"&amp;直管換算表!F24)</f>
        <v/>
      </c>
      <c r="D16" s="208"/>
      <c r="E16" s="209"/>
      <c r="F16" s="196" t="str">
        <f t="shared" si="5"/>
        <v/>
      </c>
      <c r="G16" s="210"/>
      <c r="H16" s="198" t="str">
        <f t="shared" si="0"/>
        <v/>
      </c>
      <c r="I16" s="199" t="str">
        <f t="shared" si="6"/>
        <v/>
      </c>
      <c r="J16" s="196" t="str">
        <f t="shared" si="7"/>
        <v/>
      </c>
      <c r="K16" s="211"/>
      <c r="L16" s="212"/>
      <c r="M16" s="213"/>
      <c r="N16" s="202" t="str">
        <f t="shared" si="8"/>
        <v/>
      </c>
      <c r="O16" s="203" t="str">
        <f>IF(H16="","",SUM($H$9:H16))</f>
        <v/>
      </c>
      <c r="P16" s="199" t="str">
        <f t="shared" si="9"/>
        <v/>
      </c>
      <c r="Q16" s="202" t="str">
        <f t="shared" si="1"/>
        <v/>
      </c>
      <c r="R16" s="199" t="str">
        <f t="shared" si="2"/>
        <v/>
      </c>
      <c r="S16" s="204" t="str">
        <f t="shared" si="10"/>
        <v/>
      </c>
      <c r="T16" s="204" t="str">
        <f t="shared" si="11"/>
        <v/>
      </c>
      <c r="U16" s="205"/>
      <c r="V16" s="160"/>
      <c r="W16" s="161"/>
      <c r="X16" s="143"/>
      <c r="Y16" s="199" t="str">
        <f t="shared" si="3"/>
        <v/>
      </c>
      <c r="Z16" s="204" t="str">
        <f t="shared" si="12"/>
        <v/>
      </c>
      <c r="AA16" s="199" t="str">
        <f t="shared" si="4"/>
        <v/>
      </c>
      <c r="AB16" s="204" t="str">
        <f t="shared" si="13"/>
        <v/>
      </c>
      <c r="AO16" s="165"/>
    </row>
    <row r="17" spans="2:46" s="207" customFormat="1" ht="24.95" customHeight="1" x14ac:dyDescent="0.15">
      <c r="B17" s="192">
        <v>9</v>
      </c>
      <c r="C17" s="193" t="str">
        <f>IF(AND(D17="",G17=""),"",直管換算表!F24&amp;"～"&amp;直管換算表!F25)</f>
        <v/>
      </c>
      <c r="D17" s="208"/>
      <c r="E17" s="209"/>
      <c r="F17" s="196" t="str">
        <f t="shared" si="5"/>
        <v/>
      </c>
      <c r="G17" s="210"/>
      <c r="H17" s="198" t="str">
        <f t="shared" si="0"/>
        <v/>
      </c>
      <c r="I17" s="199" t="str">
        <f t="shared" si="6"/>
        <v/>
      </c>
      <c r="J17" s="196" t="str">
        <f t="shared" si="7"/>
        <v/>
      </c>
      <c r="K17" s="211"/>
      <c r="L17" s="212"/>
      <c r="M17" s="213"/>
      <c r="N17" s="202" t="str">
        <f t="shared" si="8"/>
        <v/>
      </c>
      <c r="O17" s="203" t="str">
        <f>IF(H17="","",SUM($H$9:H17))</f>
        <v/>
      </c>
      <c r="P17" s="199" t="str">
        <f t="shared" si="9"/>
        <v/>
      </c>
      <c r="Q17" s="202" t="str">
        <f t="shared" si="1"/>
        <v/>
      </c>
      <c r="R17" s="199" t="str">
        <f t="shared" si="2"/>
        <v/>
      </c>
      <c r="S17" s="204" t="str">
        <f t="shared" si="10"/>
        <v/>
      </c>
      <c r="T17" s="204" t="str">
        <f t="shared" si="11"/>
        <v/>
      </c>
      <c r="U17" s="205"/>
      <c r="V17" s="160"/>
      <c r="W17" s="161"/>
      <c r="X17" s="143"/>
      <c r="Y17" s="199" t="str">
        <f t="shared" si="3"/>
        <v/>
      </c>
      <c r="Z17" s="204" t="str">
        <f t="shared" si="12"/>
        <v/>
      </c>
      <c r="AA17" s="199" t="str">
        <f t="shared" si="4"/>
        <v/>
      </c>
      <c r="AB17" s="204" t="str">
        <f t="shared" si="13"/>
        <v/>
      </c>
      <c r="AO17" s="165"/>
    </row>
    <row r="18" spans="2:46" s="207" customFormat="1" ht="24.95" customHeight="1" x14ac:dyDescent="0.15">
      <c r="B18" s="192">
        <v>10</v>
      </c>
      <c r="C18" s="193" t="str">
        <f>IF(AND(D18="",G18=""),"",直管換算表!F25&amp;"～"&amp;直管換算表!F26)</f>
        <v/>
      </c>
      <c r="D18" s="208"/>
      <c r="E18" s="209"/>
      <c r="F18" s="196" t="str">
        <f t="shared" si="5"/>
        <v/>
      </c>
      <c r="G18" s="210"/>
      <c r="H18" s="198" t="str">
        <f t="shared" si="0"/>
        <v/>
      </c>
      <c r="I18" s="199" t="str">
        <f t="shared" si="6"/>
        <v/>
      </c>
      <c r="J18" s="196" t="str">
        <f t="shared" si="7"/>
        <v/>
      </c>
      <c r="K18" s="211"/>
      <c r="L18" s="212"/>
      <c r="M18" s="213"/>
      <c r="N18" s="202" t="str">
        <f t="shared" si="8"/>
        <v/>
      </c>
      <c r="O18" s="203" t="str">
        <f>IF(H18="","",SUM($H$9:H18))</f>
        <v/>
      </c>
      <c r="P18" s="199" t="str">
        <f t="shared" si="9"/>
        <v/>
      </c>
      <c r="Q18" s="202" t="str">
        <f t="shared" si="1"/>
        <v/>
      </c>
      <c r="R18" s="199" t="str">
        <f t="shared" si="2"/>
        <v/>
      </c>
      <c r="S18" s="204" t="str">
        <f t="shared" si="10"/>
        <v/>
      </c>
      <c r="T18" s="204" t="str">
        <f t="shared" si="11"/>
        <v/>
      </c>
      <c r="U18" s="205"/>
      <c r="V18" s="160"/>
      <c r="W18" s="161"/>
      <c r="X18" s="143"/>
      <c r="Y18" s="199" t="str">
        <f t="shared" si="3"/>
        <v/>
      </c>
      <c r="Z18" s="204" t="str">
        <f t="shared" si="12"/>
        <v/>
      </c>
      <c r="AA18" s="199" t="str">
        <f t="shared" si="4"/>
        <v/>
      </c>
      <c r="AB18" s="204" t="str">
        <f t="shared" si="13"/>
        <v/>
      </c>
      <c r="AO18" s="165"/>
    </row>
    <row r="19" spans="2:46" s="207" customFormat="1" ht="24.95" customHeight="1" x14ac:dyDescent="0.15">
      <c r="B19" s="192">
        <v>11</v>
      </c>
      <c r="C19" s="193" t="str">
        <f>IF(AND(D19="",G19=""),"",直管換算表!F26&amp;"～"&amp;直管換算表!F27)</f>
        <v/>
      </c>
      <c r="D19" s="208"/>
      <c r="E19" s="209"/>
      <c r="F19" s="196" t="str">
        <f t="shared" si="5"/>
        <v/>
      </c>
      <c r="G19" s="210"/>
      <c r="H19" s="198" t="str">
        <f t="shared" si="0"/>
        <v/>
      </c>
      <c r="I19" s="199" t="str">
        <f t="shared" si="6"/>
        <v/>
      </c>
      <c r="J19" s="196" t="str">
        <f t="shared" si="7"/>
        <v/>
      </c>
      <c r="K19" s="211"/>
      <c r="L19" s="212"/>
      <c r="M19" s="213"/>
      <c r="N19" s="202" t="str">
        <f t="shared" si="8"/>
        <v/>
      </c>
      <c r="O19" s="203" t="str">
        <f>IF(H19="","",SUM($H$9:H19))</f>
        <v/>
      </c>
      <c r="P19" s="199" t="str">
        <f t="shared" si="9"/>
        <v/>
      </c>
      <c r="Q19" s="202" t="str">
        <f t="shared" si="1"/>
        <v/>
      </c>
      <c r="R19" s="199" t="str">
        <f t="shared" si="2"/>
        <v/>
      </c>
      <c r="S19" s="204" t="str">
        <f t="shared" si="10"/>
        <v/>
      </c>
      <c r="T19" s="204" t="str">
        <f t="shared" si="11"/>
        <v/>
      </c>
      <c r="U19" s="205"/>
      <c r="V19" s="160"/>
      <c r="W19" s="161"/>
      <c r="X19" s="143"/>
      <c r="Y19" s="199" t="str">
        <f t="shared" si="3"/>
        <v/>
      </c>
      <c r="Z19" s="204" t="str">
        <f t="shared" si="12"/>
        <v/>
      </c>
      <c r="AA19" s="199" t="str">
        <f t="shared" si="4"/>
        <v/>
      </c>
      <c r="AB19" s="204" t="str">
        <f t="shared" si="13"/>
        <v/>
      </c>
      <c r="AO19" s="165"/>
    </row>
    <row r="20" spans="2:46" s="207" customFormat="1" ht="24.95" customHeight="1" x14ac:dyDescent="0.15">
      <c r="B20" s="192">
        <v>12</v>
      </c>
      <c r="C20" s="193" t="str">
        <f>IF(AND(D20="",G20=""),"",直管換算表!F27&amp;"～"&amp;直管換算表!F28)</f>
        <v/>
      </c>
      <c r="D20" s="208"/>
      <c r="E20" s="209"/>
      <c r="F20" s="196" t="str">
        <f t="shared" si="5"/>
        <v/>
      </c>
      <c r="G20" s="210"/>
      <c r="H20" s="198" t="str">
        <f t="shared" si="0"/>
        <v/>
      </c>
      <c r="I20" s="199" t="str">
        <f t="shared" si="6"/>
        <v/>
      </c>
      <c r="J20" s="196" t="str">
        <f t="shared" si="7"/>
        <v/>
      </c>
      <c r="K20" s="211"/>
      <c r="L20" s="212"/>
      <c r="M20" s="213"/>
      <c r="N20" s="202" t="str">
        <f t="shared" si="8"/>
        <v/>
      </c>
      <c r="O20" s="203" t="str">
        <f>IF(H20="","",SUM($H$9:H20))</f>
        <v/>
      </c>
      <c r="P20" s="199" t="str">
        <f t="shared" si="9"/>
        <v/>
      </c>
      <c r="Q20" s="202" t="str">
        <f t="shared" si="1"/>
        <v/>
      </c>
      <c r="R20" s="199" t="str">
        <f t="shared" si="2"/>
        <v/>
      </c>
      <c r="S20" s="204" t="str">
        <f t="shared" si="10"/>
        <v/>
      </c>
      <c r="T20" s="204" t="str">
        <f t="shared" si="11"/>
        <v/>
      </c>
      <c r="U20" s="205"/>
      <c r="V20" s="160"/>
      <c r="W20" s="161"/>
      <c r="X20" s="143"/>
      <c r="Y20" s="199" t="str">
        <f t="shared" si="3"/>
        <v/>
      </c>
      <c r="Z20" s="204" t="str">
        <f t="shared" si="12"/>
        <v/>
      </c>
      <c r="AA20" s="199" t="str">
        <f t="shared" si="4"/>
        <v/>
      </c>
      <c r="AB20" s="204" t="str">
        <f t="shared" si="13"/>
        <v/>
      </c>
      <c r="AO20" s="165"/>
    </row>
    <row r="21" spans="2:46" s="207" customFormat="1" ht="24.95" customHeight="1" x14ac:dyDescent="0.15">
      <c r="B21" s="192">
        <v>13</v>
      </c>
      <c r="C21" s="193" t="str">
        <f>IF(AND(D21="",G21=""),"",直管換算表!F28&amp;"～"&amp;直管換算表!F29)</f>
        <v/>
      </c>
      <c r="D21" s="208"/>
      <c r="E21" s="209"/>
      <c r="F21" s="196" t="str">
        <f t="shared" si="5"/>
        <v/>
      </c>
      <c r="G21" s="210"/>
      <c r="H21" s="198" t="str">
        <f t="shared" si="0"/>
        <v/>
      </c>
      <c r="I21" s="199" t="str">
        <f t="shared" si="6"/>
        <v/>
      </c>
      <c r="J21" s="196" t="str">
        <f t="shared" si="7"/>
        <v/>
      </c>
      <c r="K21" s="211"/>
      <c r="L21" s="212"/>
      <c r="M21" s="213"/>
      <c r="N21" s="202" t="str">
        <f t="shared" si="8"/>
        <v/>
      </c>
      <c r="O21" s="203" t="str">
        <f>IF(H21="","",SUM($H$9:H21))</f>
        <v/>
      </c>
      <c r="P21" s="199" t="str">
        <f t="shared" si="9"/>
        <v/>
      </c>
      <c r="Q21" s="202" t="str">
        <f t="shared" si="1"/>
        <v/>
      </c>
      <c r="R21" s="199" t="str">
        <f t="shared" si="2"/>
        <v/>
      </c>
      <c r="S21" s="204" t="str">
        <f t="shared" si="10"/>
        <v/>
      </c>
      <c r="T21" s="204" t="str">
        <f t="shared" si="11"/>
        <v/>
      </c>
      <c r="U21" s="205"/>
      <c r="V21" s="160"/>
      <c r="W21" s="161"/>
      <c r="X21" s="143"/>
      <c r="Y21" s="199" t="str">
        <f t="shared" si="3"/>
        <v/>
      </c>
      <c r="Z21" s="204" t="str">
        <f t="shared" si="12"/>
        <v/>
      </c>
      <c r="AA21" s="199" t="str">
        <f t="shared" si="4"/>
        <v/>
      </c>
      <c r="AB21" s="204" t="str">
        <f t="shared" si="13"/>
        <v/>
      </c>
      <c r="AO21" s="165"/>
    </row>
    <row r="22" spans="2:46" s="207" customFormat="1" ht="24.95" customHeight="1" x14ac:dyDescent="0.15">
      <c r="B22" s="192">
        <v>14</v>
      </c>
      <c r="C22" s="193" t="str">
        <f>IF(AND(D22="",G22=""),"",直管換算表!F29&amp;"～"&amp;直管換算表!F30)</f>
        <v/>
      </c>
      <c r="D22" s="208"/>
      <c r="E22" s="209"/>
      <c r="F22" s="196" t="str">
        <f t="shared" si="5"/>
        <v/>
      </c>
      <c r="G22" s="210"/>
      <c r="H22" s="198" t="str">
        <f t="shared" si="0"/>
        <v/>
      </c>
      <c r="I22" s="199" t="str">
        <f t="shared" si="6"/>
        <v/>
      </c>
      <c r="J22" s="196" t="str">
        <f t="shared" si="7"/>
        <v/>
      </c>
      <c r="K22" s="211"/>
      <c r="L22" s="212"/>
      <c r="M22" s="213"/>
      <c r="N22" s="202" t="str">
        <f t="shared" si="8"/>
        <v/>
      </c>
      <c r="O22" s="203" t="str">
        <f>IF(H22="","",SUM($H$9:H22))</f>
        <v/>
      </c>
      <c r="P22" s="199" t="str">
        <f t="shared" si="9"/>
        <v/>
      </c>
      <c r="Q22" s="202" t="str">
        <f t="shared" si="1"/>
        <v/>
      </c>
      <c r="R22" s="199" t="str">
        <f t="shared" si="2"/>
        <v/>
      </c>
      <c r="S22" s="204" t="str">
        <f t="shared" si="10"/>
        <v/>
      </c>
      <c r="T22" s="204" t="str">
        <f t="shared" si="11"/>
        <v/>
      </c>
      <c r="U22" s="205"/>
      <c r="V22" s="160"/>
      <c r="W22" s="161"/>
      <c r="X22" s="143"/>
      <c r="Y22" s="199" t="str">
        <f t="shared" si="3"/>
        <v/>
      </c>
      <c r="Z22" s="204" t="str">
        <f t="shared" si="12"/>
        <v/>
      </c>
      <c r="AA22" s="199" t="str">
        <f t="shared" si="4"/>
        <v/>
      </c>
      <c r="AB22" s="204" t="str">
        <f t="shared" si="13"/>
        <v/>
      </c>
      <c r="AO22" s="165"/>
    </row>
    <row r="23" spans="2:46" s="207" customFormat="1" ht="24.95" customHeight="1" x14ac:dyDescent="0.15">
      <c r="B23" s="192">
        <v>15</v>
      </c>
      <c r="C23" s="193" t="str">
        <f>IF(AND(D23="",G23=""),"",直管換算表!F30&amp;"～"&amp;直管換算表!F31)</f>
        <v/>
      </c>
      <c r="D23" s="208"/>
      <c r="E23" s="209"/>
      <c r="F23" s="196" t="str">
        <f t="shared" si="5"/>
        <v/>
      </c>
      <c r="G23" s="210"/>
      <c r="H23" s="198" t="str">
        <f t="shared" si="0"/>
        <v/>
      </c>
      <c r="I23" s="199" t="str">
        <f t="shared" si="6"/>
        <v/>
      </c>
      <c r="J23" s="196" t="str">
        <f t="shared" si="7"/>
        <v/>
      </c>
      <c r="K23" s="211"/>
      <c r="L23" s="212"/>
      <c r="M23" s="213"/>
      <c r="N23" s="202" t="str">
        <f t="shared" si="8"/>
        <v/>
      </c>
      <c r="O23" s="203" t="str">
        <f>IF(H23="","",SUM($H$9:H23))</f>
        <v/>
      </c>
      <c r="P23" s="199" t="str">
        <f t="shared" si="9"/>
        <v/>
      </c>
      <c r="Q23" s="202" t="str">
        <f t="shared" si="1"/>
        <v/>
      </c>
      <c r="R23" s="199" t="str">
        <f t="shared" si="2"/>
        <v/>
      </c>
      <c r="S23" s="204" t="str">
        <f t="shared" si="10"/>
        <v/>
      </c>
      <c r="T23" s="204" t="str">
        <f t="shared" si="11"/>
        <v/>
      </c>
      <c r="U23" s="205"/>
      <c r="V23" s="160"/>
      <c r="W23" s="161"/>
      <c r="X23" s="143"/>
      <c r="Y23" s="199" t="str">
        <f t="shared" si="3"/>
        <v/>
      </c>
      <c r="Z23" s="204" t="str">
        <f t="shared" si="12"/>
        <v/>
      </c>
      <c r="AA23" s="199" t="str">
        <f t="shared" si="4"/>
        <v/>
      </c>
      <c r="AB23" s="204" t="str">
        <f t="shared" si="13"/>
        <v/>
      </c>
      <c r="AO23" s="165"/>
    </row>
    <row r="24" spans="2:46" s="207" customFormat="1" ht="24.95" customHeight="1" x14ac:dyDescent="0.15">
      <c r="B24" s="192">
        <v>16</v>
      </c>
      <c r="C24" s="193" t="str">
        <f>IF(AND(D24="",G24=""),"",直管換算表!F31&amp;"～"&amp;直管換算表!F32)</f>
        <v/>
      </c>
      <c r="D24" s="208"/>
      <c r="E24" s="209"/>
      <c r="F24" s="196" t="str">
        <f t="shared" si="5"/>
        <v/>
      </c>
      <c r="G24" s="210"/>
      <c r="H24" s="198" t="str">
        <f t="shared" si="0"/>
        <v/>
      </c>
      <c r="I24" s="199" t="str">
        <f t="shared" si="6"/>
        <v/>
      </c>
      <c r="J24" s="196" t="str">
        <f t="shared" si="7"/>
        <v/>
      </c>
      <c r="K24" s="211"/>
      <c r="L24" s="212"/>
      <c r="M24" s="213"/>
      <c r="N24" s="202" t="str">
        <f t="shared" si="8"/>
        <v/>
      </c>
      <c r="O24" s="203" t="str">
        <f>IF(H24="","",SUM($H$9:H24))</f>
        <v/>
      </c>
      <c r="P24" s="199" t="str">
        <f t="shared" si="9"/>
        <v/>
      </c>
      <c r="Q24" s="202" t="str">
        <f t="shared" si="1"/>
        <v/>
      </c>
      <c r="R24" s="199" t="str">
        <f t="shared" si="2"/>
        <v/>
      </c>
      <c r="S24" s="204" t="str">
        <f t="shared" si="10"/>
        <v/>
      </c>
      <c r="T24" s="204" t="str">
        <f t="shared" si="11"/>
        <v/>
      </c>
      <c r="U24" s="205"/>
      <c r="V24" s="160"/>
      <c r="W24" s="161"/>
      <c r="X24" s="143"/>
      <c r="Y24" s="199" t="str">
        <f t="shared" si="3"/>
        <v/>
      </c>
      <c r="Z24" s="204" t="str">
        <f t="shared" si="12"/>
        <v/>
      </c>
      <c r="AA24" s="199" t="str">
        <f t="shared" si="4"/>
        <v/>
      </c>
      <c r="AB24" s="204" t="str">
        <f t="shared" si="13"/>
        <v/>
      </c>
      <c r="AO24" s="165"/>
    </row>
    <row r="25" spans="2:46" s="207" customFormat="1" ht="24.95" customHeight="1" x14ac:dyDescent="0.15">
      <c r="B25" s="192">
        <v>17</v>
      </c>
      <c r="C25" s="193" t="str">
        <f>IF(AND(D25="",G25=""),"",直管換算表!F32&amp;"～"&amp;直管換算表!F33)</f>
        <v/>
      </c>
      <c r="D25" s="208"/>
      <c r="E25" s="209"/>
      <c r="F25" s="196" t="str">
        <f t="shared" si="5"/>
        <v/>
      </c>
      <c r="G25" s="210"/>
      <c r="H25" s="198" t="str">
        <f t="shared" si="0"/>
        <v/>
      </c>
      <c r="I25" s="199" t="str">
        <f t="shared" si="6"/>
        <v/>
      </c>
      <c r="J25" s="196" t="str">
        <f t="shared" si="7"/>
        <v/>
      </c>
      <c r="K25" s="211"/>
      <c r="L25" s="212"/>
      <c r="M25" s="213"/>
      <c r="N25" s="202" t="str">
        <f t="shared" si="8"/>
        <v/>
      </c>
      <c r="O25" s="203" t="str">
        <f>IF(H25="","",SUM($H$9:H25))</f>
        <v/>
      </c>
      <c r="P25" s="199" t="str">
        <f t="shared" si="9"/>
        <v/>
      </c>
      <c r="Q25" s="202" t="str">
        <f t="shared" si="1"/>
        <v/>
      </c>
      <c r="R25" s="199" t="str">
        <f t="shared" si="2"/>
        <v/>
      </c>
      <c r="S25" s="204" t="str">
        <f t="shared" si="10"/>
        <v/>
      </c>
      <c r="T25" s="204" t="str">
        <f t="shared" si="11"/>
        <v/>
      </c>
      <c r="U25" s="205"/>
      <c r="V25" s="160"/>
      <c r="W25" s="161"/>
      <c r="X25" s="143"/>
      <c r="Y25" s="199" t="str">
        <f t="shared" si="3"/>
        <v/>
      </c>
      <c r="Z25" s="204" t="str">
        <f t="shared" si="12"/>
        <v/>
      </c>
      <c r="AA25" s="199" t="str">
        <f t="shared" si="4"/>
        <v/>
      </c>
      <c r="AB25" s="204" t="str">
        <f t="shared" si="13"/>
        <v/>
      </c>
      <c r="AO25" s="165"/>
    </row>
    <row r="26" spans="2:46" s="207" customFormat="1" ht="24.95" customHeight="1" x14ac:dyDescent="0.15">
      <c r="B26" s="192">
        <v>18</v>
      </c>
      <c r="C26" s="193" t="str">
        <f>IF(AND(D26="",G26=""),"",直管換算表!F33&amp;"～"&amp;直管換算表!F34)</f>
        <v/>
      </c>
      <c r="D26" s="208"/>
      <c r="E26" s="209"/>
      <c r="F26" s="196" t="str">
        <f t="shared" si="5"/>
        <v/>
      </c>
      <c r="G26" s="210"/>
      <c r="H26" s="198" t="str">
        <f t="shared" si="0"/>
        <v/>
      </c>
      <c r="I26" s="199" t="str">
        <f t="shared" si="6"/>
        <v/>
      </c>
      <c r="J26" s="196" t="str">
        <f t="shared" si="7"/>
        <v/>
      </c>
      <c r="K26" s="211"/>
      <c r="L26" s="212"/>
      <c r="M26" s="213"/>
      <c r="N26" s="202" t="str">
        <f t="shared" si="8"/>
        <v/>
      </c>
      <c r="O26" s="203" t="str">
        <f>IF(H26="","",SUM($H$9:H26))</f>
        <v/>
      </c>
      <c r="P26" s="199" t="str">
        <f t="shared" si="9"/>
        <v/>
      </c>
      <c r="Q26" s="202" t="str">
        <f t="shared" si="1"/>
        <v/>
      </c>
      <c r="R26" s="199" t="str">
        <f t="shared" si="2"/>
        <v/>
      </c>
      <c r="S26" s="204" t="str">
        <f t="shared" si="10"/>
        <v/>
      </c>
      <c r="T26" s="204" t="str">
        <f t="shared" si="11"/>
        <v/>
      </c>
      <c r="U26" s="205"/>
      <c r="V26" s="160"/>
      <c r="W26" s="161"/>
      <c r="X26" s="143"/>
      <c r="Y26" s="199" t="str">
        <f t="shared" si="3"/>
        <v/>
      </c>
      <c r="Z26" s="204" t="str">
        <f t="shared" si="12"/>
        <v/>
      </c>
      <c r="AA26" s="199" t="str">
        <f t="shared" si="4"/>
        <v/>
      </c>
      <c r="AB26" s="204" t="str">
        <f t="shared" si="13"/>
        <v/>
      </c>
      <c r="AO26" s="165"/>
    </row>
    <row r="27" spans="2:46" s="207" customFormat="1" ht="24.95" customHeight="1" x14ac:dyDescent="0.15">
      <c r="B27" s="192">
        <v>19</v>
      </c>
      <c r="C27" s="193" t="str">
        <f>IF(AND(D27="",G27=""),"",直管換算表!F34&amp;"～"&amp;直管換算表!F35)</f>
        <v/>
      </c>
      <c r="D27" s="208"/>
      <c r="E27" s="209"/>
      <c r="F27" s="196" t="str">
        <f t="shared" si="5"/>
        <v/>
      </c>
      <c r="G27" s="210"/>
      <c r="H27" s="198" t="str">
        <f t="shared" si="0"/>
        <v/>
      </c>
      <c r="I27" s="199" t="str">
        <f t="shared" si="6"/>
        <v/>
      </c>
      <c r="J27" s="196" t="str">
        <f t="shared" si="7"/>
        <v/>
      </c>
      <c r="K27" s="211"/>
      <c r="L27" s="212"/>
      <c r="M27" s="213"/>
      <c r="N27" s="202" t="str">
        <f t="shared" si="8"/>
        <v/>
      </c>
      <c r="O27" s="203" t="str">
        <f>IF(H27="","",SUM($H$9:H27))</f>
        <v/>
      </c>
      <c r="P27" s="199" t="str">
        <f t="shared" si="9"/>
        <v/>
      </c>
      <c r="Q27" s="202" t="str">
        <f t="shared" si="1"/>
        <v/>
      </c>
      <c r="R27" s="199" t="str">
        <f t="shared" si="2"/>
        <v/>
      </c>
      <c r="S27" s="204" t="str">
        <f t="shared" si="10"/>
        <v/>
      </c>
      <c r="T27" s="204" t="str">
        <f t="shared" si="11"/>
        <v/>
      </c>
      <c r="U27" s="205"/>
      <c r="V27" s="160"/>
      <c r="W27" s="161"/>
      <c r="X27" s="143"/>
      <c r="Y27" s="199" t="str">
        <f t="shared" si="3"/>
        <v/>
      </c>
      <c r="Z27" s="204" t="str">
        <f t="shared" si="12"/>
        <v/>
      </c>
      <c r="AA27" s="199" t="str">
        <f t="shared" si="4"/>
        <v/>
      </c>
      <c r="AB27" s="204" t="str">
        <f t="shared" si="13"/>
        <v/>
      </c>
      <c r="AO27" s="165"/>
    </row>
    <row r="28" spans="2:46" s="207" customFormat="1" ht="24.95" customHeight="1" thickBot="1" x14ac:dyDescent="0.2">
      <c r="B28" s="214">
        <v>20</v>
      </c>
      <c r="C28" s="215" t="str">
        <f>IF(AND(D28="",G28=""),"",直管換算表!F35&amp;"～"&amp;直管換算表!F36)</f>
        <v/>
      </c>
      <c r="D28" s="216"/>
      <c r="E28" s="217"/>
      <c r="F28" s="196" t="str">
        <f t="shared" si="5"/>
        <v/>
      </c>
      <c r="G28" s="218"/>
      <c r="H28" s="198" t="str">
        <f t="shared" si="0"/>
        <v/>
      </c>
      <c r="I28" s="219" t="str">
        <f t="shared" si="6"/>
        <v/>
      </c>
      <c r="J28" s="196" t="str">
        <f t="shared" si="7"/>
        <v/>
      </c>
      <c r="K28" s="220"/>
      <c r="L28" s="221"/>
      <c r="M28" s="222"/>
      <c r="N28" s="223" t="str">
        <f t="shared" si="8"/>
        <v/>
      </c>
      <c r="O28" s="224" t="str">
        <f>IF(H28="","",SUM($H$9:H28))</f>
        <v/>
      </c>
      <c r="P28" s="219" t="str">
        <f t="shared" si="9"/>
        <v/>
      </c>
      <c r="Q28" s="223" t="str">
        <f t="shared" si="1"/>
        <v/>
      </c>
      <c r="R28" s="219" t="str">
        <f t="shared" si="2"/>
        <v/>
      </c>
      <c r="S28" s="225" t="str">
        <f t="shared" si="10"/>
        <v/>
      </c>
      <c r="T28" s="225" t="str">
        <f t="shared" si="11"/>
        <v/>
      </c>
      <c r="U28" s="205"/>
      <c r="V28" s="160"/>
      <c r="W28" s="161"/>
      <c r="X28" s="143"/>
      <c r="Y28" s="199" t="str">
        <f t="shared" si="3"/>
        <v/>
      </c>
      <c r="Z28" s="204" t="str">
        <f t="shared" si="12"/>
        <v/>
      </c>
      <c r="AA28" s="199" t="str">
        <f t="shared" si="4"/>
        <v/>
      </c>
      <c r="AB28" s="204" t="str">
        <f t="shared" si="13"/>
        <v/>
      </c>
      <c r="AO28" s="165"/>
    </row>
    <row r="29" spans="2:46" s="238" customFormat="1" ht="24.95" customHeight="1" thickTop="1" x14ac:dyDescent="0.15">
      <c r="B29" s="294" t="s">
        <v>22</v>
      </c>
      <c r="C29" s="294"/>
      <c r="D29" s="226">
        <f>SUM(D9:D28)</f>
        <v>3</v>
      </c>
      <c r="E29" s="300"/>
      <c r="F29" s="301"/>
      <c r="G29" s="302"/>
      <c r="H29" s="227">
        <f>SUM(H9:H28)</f>
        <v>33</v>
      </c>
      <c r="I29" s="228">
        <f>SUM(I9:I28)</f>
        <v>5.4999999999999992E-4</v>
      </c>
      <c r="J29" s="229"/>
      <c r="K29" s="230">
        <f>SUM(K9:K28)</f>
        <v>30.500000000000004</v>
      </c>
      <c r="L29" s="231">
        <f>SUM(L9:L28)</f>
        <v>2.75</v>
      </c>
      <c r="M29" s="232"/>
      <c r="N29" s="233"/>
      <c r="O29" s="233"/>
      <c r="P29" s="233"/>
      <c r="Q29" s="233"/>
      <c r="R29" s="233"/>
      <c r="S29" s="233"/>
      <c r="T29" s="234">
        <f>SUM(T9:T28)</f>
        <v>4.8337824336757791</v>
      </c>
      <c r="U29" s="235"/>
      <c r="V29" s="236"/>
      <c r="W29" s="237"/>
      <c r="AO29" s="239"/>
    </row>
    <row r="30" spans="2:46" ht="24.95" customHeight="1" x14ac:dyDescent="0.4">
      <c r="B30" s="240">
        <v>1</v>
      </c>
      <c r="C30" s="240">
        <v>2</v>
      </c>
      <c r="D30" s="240">
        <v>3</v>
      </c>
      <c r="E30" s="240">
        <v>4</v>
      </c>
      <c r="F30" s="240">
        <v>5</v>
      </c>
      <c r="G30" s="240">
        <v>6</v>
      </c>
      <c r="H30" s="240">
        <v>7</v>
      </c>
      <c r="I30" s="240">
        <v>8</v>
      </c>
      <c r="J30" s="240">
        <v>9</v>
      </c>
      <c r="K30" s="240">
        <v>10</v>
      </c>
      <c r="L30" s="240">
        <v>11</v>
      </c>
      <c r="M30" s="240">
        <v>12</v>
      </c>
      <c r="N30" s="240">
        <v>13</v>
      </c>
      <c r="O30" s="240">
        <v>14</v>
      </c>
      <c r="P30" s="240">
        <v>15</v>
      </c>
      <c r="Q30" s="240">
        <v>16</v>
      </c>
      <c r="R30" s="240">
        <v>17</v>
      </c>
      <c r="S30" s="240">
        <v>18</v>
      </c>
      <c r="T30" s="240">
        <v>19</v>
      </c>
      <c r="U30" s="241"/>
      <c r="V30" s="241"/>
      <c r="W30" s="241"/>
      <c r="X30" s="241"/>
      <c r="AB30" s="158"/>
      <c r="AC30" s="158"/>
      <c r="AD30" s="158"/>
      <c r="AE30" s="158"/>
      <c r="AK30" s="158"/>
      <c r="AS30" s="241"/>
      <c r="AT30" s="241"/>
    </row>
    <row r="31" spans="2:46" ht="24.95" customHeight="1" x14ac:dyDescent="0.2">
      <c r="B31" s="303" t="s">
        <v>28</v>
      </c>
      <c r="C31" s="303"/>
      <c r="D31" s="303"/>
      <c r="E31" s="303"/>
      <c r="Q31" s="242" t="s">
        <v>30</v>
      </c>
      <c r="AA31" s="158"/>
      <c r="AB31" s="243">
        <v>2</v>
      </c>
      <c r="AC31" s="243">
        <v>3</v>
      </c>
      <c r="AD31" s="243">
        <v>4</v>
      </c>
      <c r="AE31" s="243">
        <v>5</v>
      </c>
      <c r="AF31" s="243">
        <v>6</v>
      </c>
      <c r="AG31" s="243">
        <v>7</v>
      </c>
      <c r="AH31" s="243">
        <v>8</v>
      </c>
      <c r="AI31" s="243">
        <v>9</v>
      </c>
      <c r="AJ31" s="243">
        <v>10</v>
      </c>
      <c r="AK31" s="243">
        <v>11</v>
      </c>
      <c r="AL31" s="243">
        <v>12</v>
      </c>
      <c r="AM31" s="243">
        <v>13</v>
      </c>
      <c r="AN31" s="243">
        <v>14</v>
      </c>
    </row>
    <row r="32" spans="2:46" s="179" customFormat="1" ht="45" x14ac:dyDescent="0.4">
      <c r="B32" s="299" t="s">
        <v>12</v>
      </c>
      <c r="C32" s="299" t="s">
        <v>11</v>
      </c>
      <c r="D32" s="172" t="s">
        <v>72</v>
      </c>
      <c r="E32" s="295" t="s">
        <v>4</v>
      </c>
      <c r="F32" s="295" t="s">
        <v>35</v>
      </c>
      <c r="G32" s="295" t="s">
        <v>76</v>
      </c>
      <c r="H32" s="295" t="s">
        <v>73</v>
      </c>
      <c r="I32" s="295" t="s">
        <v>113</v>
      </c>
      <c r="J32" s="295" t="s">
        <v>38</v>
      </c>
      <c r="K32" s="295" t="s">
        <v>36</v>
      </c>
      <c r="L32" s="295" t="s">
        <v>37</v>
      </c>
      <c r="M32" s="295" t="s">
        <v>87</v>
      </c>
      <c r="N32" s="295" t="s">
        <v>88</v>
      </c>
      <c r="O32" s="296" t="s">
        <v>8</v>
      </c>
      <c r="P32" s="295" t="s">
        <v>85</v>
      </c>
      <c r="Q32" s="295" t="s">
        <v>86</v>
      </c>
      <c r="R32" s="172" t="s">
        <v>27</v>
      </c>
      <c r="S32" s="244" t="s">
        <v>23</v>
      </c>
      <c r="T32" s="174" t="s">
        <v>34</v>
      </c>
      <c r="U32" s="245" t="s">
        <v>83</v>
      </c>
      <c r="V32" s="245" t="s">
        <v>84</v>
      </c>
      <c r="Y32" s="299" t="s">
        <v>11</v>
      </c>
      <c r="Z32" s="172" t="s">
        <v>25</v>
      </c>
      <c r="AA32" s="295" t="s">
        <v>4</v>
      </c>
      <c r="AB32" s="295" t="s">
        <v>35</v>
      </c>
      <c r="AC32" s="295" t="s">
        <v>5</v>
      </c>
      <c r="AD32" s="295" t="s">
        <v>73</v>
      </c>
      <c r="AE32" s="296" t="s">
        <v>6</v>
      </c>
      <c r="AF32" s="296" t="s">
        <v>7</v>
      </c>
      <c r="AG32" s="295" t="s">
        <v>36</v>
      </c>
      <c r="AH32" s="295" t="s">
        <v>37</v>
      </c>
      <c r="AI32" s="295" t="s">
        <v>87</v>
      </c>
      <c r="AJ32" s="295" t="s">
        <v>88</v>
      </c>
      <c r="AK32" s="296" t="s">
        <v>8</v>
      </c>
      <c r="AL32" s="295" t="s">
        <v>85</v>
      </c>
      <c r="AM32" s="295" t="s">
        <v>86</v>
      </c>
      <c r="AN32" s="172" t="s">
        <v>27</v>
      </c>
      <c r="AP32" s="177"/>
    </row>
    <row r="33" spans="2:42" s="179" customFormat="1" ht="24.95" customHeight="1" thickBot="1" x14ac:dyDescent="0.45">
      <c r="B33" s="299"/>
      <c r="C33" s="299"/>
      <c r="D33" s="187" t="s">
        <v>20</v>
      </c>
      <c r="E33" s="297"/>
      <c r="F33" s="297"/>
      <c r="G33" s="297"/>
      <c r="H33" s="297" t="s">
        <v>33</v>
      </c>
      <c r="I33" s="298"/>
      <c r="J33" s="298"/>
      <c r="K33" s="298"/>
      <c r="L33" s="298"/>
      <c r="M33" s="297"/>
      <c r="N33" s="297"/>
      <c r="O33" s="298"/>
      <c r="P33" s="297"/>
      <c r="Q33" s="297"/>
      <c r="R33" s="187" t="s">
        <v>17</v>
      </c>
      <c r="S33" s="246" t="s">
        <v>17</v>
      </c>
      <c r="T33" s="184" t="s">
        <v>17</v>
      </c>
      <c r="U33" s="247" t="s">
        <v>17</v>
      </c>
      <c r="V33" s="247" t="s">
        <v>19</v>
      </c>
      <c r="Y33" s="299"/>
      <c r="Z33" s="187" t="s">
        <v>20</v>
      </c>
      <c r="AA33" s="295"/>
      <c r="AB33" s="295"/>
      <c r="AC33" s="295"/>
      <c r="AD33" s="295"/>
      <c r="AE33" s="296"/>
      <c r="AF33" s="296"/>
      <c r="AG33" s="296"/>
      <c r="AH33" s="296"/>
      <c r="AI33" s="295"/>
      <c r="AJ33" s="295"/>
      <c r="AK33" s="296"/>
      <c r="AL33" s="295"/>
      <c r="AM33" s="295"/>
      <c r="AN33" s="187" t="s">
        <v>17</v>
      </c>
      <c r="AP33" s="178"/>
    </row>
    <row r="34" spans="2:42" ht="24.95" customHeight="1" thickTop="1" x14ac:dyDescent="0.15">
      <c r="B34" s="192">
        <v>1</v>
      </c>
      <c r="C34" s="248" t="str">
        <f t="shared" ref="C34:C53" si="14">C9</f>
        <v>Ａ～Ｂ</v>
      </c>
      <c r="D34" s="193">
        <f t="shared" ref="D34:D53" si="15">IF(M9="","",M9)</f>
        <v>20</v>
      </c>
      <c r="E34" s="194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195"/>
      <c r="R34" s="198">
        <f t="shared" ref="R34:R53" si="16">AN34</f>
        <v>0</v>
      </c>
      <c r="S34" s="250">
        <f t="shared" ref="S34:S53" si="17">IFERROR(R34*R9,"")</f>
        <v>0</v>
      </c>
      <c r="T34" s="202">
        <f>IFERROR(T9+S34,"")</f>
        <v>0.31141274226774174</v>
      </c>
      <c r="U34" s="251">
        <f>IFERROR(L9+T34,"")</f>
        <v>2.3114127422677417</v>
      </c>
      <c r="V34" s="252">
        <f>IFERROR(U34*9800/1000000,"")</f>
        <v>2.2651844874223868E-2</v>
      </c>
      <c r="Y34" s="253" t="str">
        <f t="shared" ref="Y34:Z53" si="18">C34</f>
        <v>Ａ～Ｂ</v>
      </c>
      <c r="Z34" s="253">
        <f t="shared" si="18"/>
        <v>20</v>
      </c>
      <c r="AA34" s="254" t="str">
        <f>IF(E34="","",VLOOKUP($D34,直管換算表!$A$3:$N$11,'水理計算（例）'!AB$31,FALSE)*'水理計算（例）'!E34)</f>
        <v/>
      </c>
      <c r="AB34" s="254" t="str">
        <f>IF(F34="","",VLOOKUP($D34,直管換算表!$A$3:$N$11,'水理計算（例）'!AC$31,FALSE)*'水理計算（例）'!F34)</f>
        <v/>
      </c>
      <c r="AC34" s="254" t="str">
        <f>IF(G34="","",VLOOKUP($D34,直管換算表!$A$3:$N$11,'水理計算（例）'!AD$31,FALSE)*'水理計算（例）'!G34)</f>
        <v/>
      </c>
      <c r="AD34" s="254" t="str">
        <f>IF(H34="","",VLOOKUP($D34,直管換算表!$A$3:$N$11,'水理計算（例）'!AE$31,FALSE)*'水理計算（例）'!H34)</f>
        <v/>
      </c>
      <c r="AE34" s="254" t="str">
        <f>IF(I34="","",VLOOKUP($D34,直管換算表!$A$3:$N$11,'水理計算（例）'!AF$31,FALSE)*'水理計算（例）'!I34)</f>
        <v/>
      </c>
      <c r="AF34" s="254" t="str">
        <f>IF(J34="","",VLOOKUP($D34,直管換算表!$A$3:$N$11,'水理計算（例）'!AG$31,FALSE)*'水理計算（例）'!J34)</f>
        <v/>
      </c>
      <c r="AG34" s="254" t="str">
        <f>IF(K34="","",VLOOKUP($D34,直管換算表!$A$3:$N$11,'水理計算（例）'!AH$31,FALSE)*'水理計算（例）'!K34)</f>
        <v/>
      </c>
      <c r="AH34" s="254" t="str">
        <f>IF(L34="","",VLOOKUP($D34,直管換算表!$A$3:$N$11,'水理計算（例）'!AI$31,FALSE)*'水理計算（例）'!L34)</f>
        <v/>
      </c>
      <c r="AI34" s="254" t="str">
        <f>IF(M34="","",VLOOKUP($D34,直管換算表!$A$3:$N$11,'水理計算（例）'!AJ$31,FALSE)*'水理計算（例）'!M34)</f>
        <v/>
      </c>
      <c r="AJ34" s="254" t="str">
        <f>IF(N34="","",VLOOKUP($D34,直管換算表!$A$3:$N$11,'水理計算（例）'!AK$31,FALSE)*'水理計算（例）'!N34)</f>
        <v/>
      </c>
      <c r="AK34" s="254" t="str">
        <f>IF(O34="","",VLOOKUP($D34,直管換算表!$A$3:$N$11,'水理計算（例）'!AL$31,FALSE)*'水理計算（例）'!O34)</f>
        <v/>
      </c>
      <c r="AL34" s="254" t="str">
        <f>IF(P34="","",VLOOKUP($D34,直管換算表!$A$3:$N$11,'水理計算（例）'!AM$31,FALSE)*'水理計算（例）'!P34)</f>
        <v/>
      </c>
      <c r="AM34" s="254" t="str">
        <f>IF(Q34="","",VLOOKUP($D34,直管換算表!$A$3:$N$11,'水理計算（例）'!AN$31,FALSE)*'水理計算（例）'!Q34)</f>
        <v/>
      </c>
      <c r="AN34" s="254">
        <f t="shared" ref="AN34:AN53" si="19">IF(Z34="","",SUM(AA34:AM34))</f>
        <v>0</v>
      </c>
      <c r="AP34" s="255"/>
    </row>
    <row r="35" spans="2:42" ht="24.95" customHeight="1" x14ac:dyDescent="0.15">
      <c r="B35" s="192">
        <v>2</v>
      </c>
      <c r="C35" s="248" t="str">
        <f t="shared" si="14"/>
        <v>Ｂ～Ｃ</v>
      </c>
      <c r="D35" s="193">
        <f t="shared" si="15"/>
        <v>20</v>
      </c>
      <c r="E35" s="208"/>
      <c r="F35" s="256"/>
      <c r="G35" s="256"/>
      <c r="H35" s="256"/>
      <c r="I35" s="256"/>
      <c r="J35" s="256"/>
      <c r="K35" s="256"/>
      <c r="L35" s="256"/>
      <c r="M35" s="256"/>
      <c r="N35" s="256">
        <v>1</v>
      </c>
      <c r="O35" s="256"/>
      <c r="P35" s="256"/>
      <c r="Q35" s="209"/>
      <c r="R35" s="198">
        <f t="shared" si="16"/>
        <v>0.24</v>
      </c>
      <c r="S35" s="250">
        <f t="shared" si="17"/>
        <v>2.779911667713451E-2</v>
      </c>
      <c r="T35" s="202">
        <f t="shared" ref="T35:T53" si="20">IFERROR(T10+S35,"")</f>
        <v>2.779911667713451E-2</v>
      </c>
      <c r="U35" s="251">
        <f t="shared" ref="U35:U53" si="21">IFERROR(L10+T35,"")</f>
        <v>2.779911667713451E-2</v>
      </c>
      <c r="V35" s="252">
        <f t="shared" ref="V35:V53" si="22">IFERROR(U35*9800/1000000,"")</f>
        <v>2.7243134343591822E-4</v>
      </c>
      <c r="Y35" s="253" t="str">
        <f t="shared" si="18"/>
        <v>Ｂ～Ｃ</v>
      </c>
      <c r="Z35" s="253">
        <f t="shared" si="18"/>
        <v>20</v>
      </c>
      <c r="AA35" s="254" t="str">
        <f>IF(E35="","",VLOOKUP($D35,直管換算表!$A$3:$N$11,'水理計算（例）'!AB$31,FALSE)*'水理計算（例）'!E35)</f>
        <v/>
      </c>
      <c r="AB35" s="254" t="str">
        <f>IF(F35="","",VLOOKUP($D35,直管換算表!$A$3:$N$11,'水理計算（例）'!AC$31,FALSE)*'水理計算（例）'!F35)</f>
        <v/>
      </c>
      <c r="AC35" s="254" t="str">
        <f>IF(G35="","",VLOOKUP($D35,直管換算表!$A$3:$N$11,'水理計算（例）'!AD$31,FALSE)*'水理計算（例）'!G35)</f>
        <v/>
      </c>
      <c r="AD35" s="254" t="str">
        <f>IF(H35="","",VLOOKUP($D35,直管換算表!$A$3:$N$11,'水理計算（例）'!AE$31,FALSE)*'水理計算（例）'!H35)</f>
        <v/>
      </c>
      <c r="AE35" s="254" t="str">
        <f>IF(I35="","",VLOOKUP($D35,直管換算表!$A$3:$N$11,'水理計算（例）'!AF$31,FALSE)*'水理計算（例）'!I35)</f>
        <v/>
      </c>
      <c r="AF35" s="254" t="str">
        <f>IF(J35="","",VLOOKUP($D35,直管換算表!$A$3:$N$11,'水理計算（例）'!AG$31,FALSE)*'水理計算（例）'!J35)</f>
        <v/>
      </c>
      <c r="AG35" s="254" t="str">
        <f>IF(K35="","",VLOOKUP($D35,直管換算表!$A$3:$N$11,'水理計算（例）'!AH$31,FALSE)*'水理計算（例）'!K35)</f>
        <v/>
      </c>
      <c r="AH35" s="254" t="str">
        <f>IF(L35="","",VLOOKUP($D35,直管換算表!$A$3:$N$11,'水理計算（例）'!AI$31,FALSE)*'水理計算（例）'!L35)</f>
        <v/>
      </c>
      <c r="AI35" s="254" t="str">
        <f>IF(M35="","",VLOOKUP($D35,直管換算表!$A$3:$N$11,'水理計算（例）'!AJ$31,FALSE)*'水理計算（例）'!M35)</f>
        <v/>
      </c>
      <c r="AJ35" s="254">
        <f>IF(N35="","",VLOOKUP($D35,直管換算表!$A$3:$N$11,'水理計算（例）'!AK$31,FALSE)*'水理計算（例）'!N35)</f>
        <v>0.24</v>
      </c>
      <c r="AK35" s="254" t="str">
        <f>IF(O35="","",VLOOKUP($D35,直管換算表!$A$3:$N$11,'水理計算（例）'!AL$31,FALSE)*'水理計算（例）'!O35)</f>
        <v/>
      </c>
      <c r="AL35" s="254" t="str">
        <f>IF(P35="","",VLOOKUP($D35,直管換算表!$A$3:$N$11,'水理計算（例）'!AM$31,FALSE)*'水理計算（例）'!P35)</f>
        <v/>
      </c>
      <c r="AM35" s="254" t="str">
        <f>IF(Q35="","",VLOOKUP($D35,直管換算表!$A$3:$N$11,'水理計算（例）'!AN$31,FALSE)*'水理計算（例）'!Q35)</f>
        <v/>
      </c>
      <c r="AN35" s="254">
        <f t="shared" si="19"/>
        <v>0.24</v>
      </c>
      <c r="AP35" s="255"/>
    </row>
    <row r="36" spans="2:42" ht="24.95" customHeight="1" x14ac:dyDescent="0.15">
      <c r="B36" s="192">
        <v>3</v>
      </c>
      <c r="C36" s="248" t="str">
        <f t="shared" si="14"/>
        <v>Ｃ～Ｄ</v>
      </c>
      <c r="D36" s="193">
        <f t="shared" si="15"/>
        <v>20</v>
      </c>
      <c r="E36" s="208">
        <v>1</v>
      </c>
      <c r="F36" s="256">
        <v>1</v>
      </c>
      <c r="G36" s="256">
        <v>1</v>
      </c>
      <c r="H36" s="256"/>
      <c r="I36" s="256"/>
      <c r="J36" s="256"/>
      <c r="K36" s="256">
        <v>3</v>
      </c>
      <c r="L36" s="256"/>
      <c r="M36" s="256">
        <v>1</v>
      </c>
      <c r="N36" s="256">
        <v>2</v>
      </c>
      <c r="O36" s="256"/>
      <c r="P36" s="256"/>
      <c r="Q36" s="209"/>
      <c r="R36" s="198">
        <f t="shared" si="16"/>
        <v>29.28</v>
      </c>
      <c r="S36" s="250">
        <f t="shared" si="17"/>
        <v>5.5172910235178048</v>
      </c>
      <c r="T36" s="202">
        <f t="shared" si="20"/>
        <v>10.039660714925843</v>
      </c>
      <c r="U36" s="251">
        <f t="shared" si="21"/>
        <v>10.789660714925843</v>
      </c>
      <c r="V36" s="252">
        <f t="shared" si="22"/>
        <v>0.10573867500627326</v>
      </c>
      <c r="Y36" s="253" t="str">
        <f t="shared" si="18"/>
        <v>Ｃ～Ｄ</v>
      </c>
      <c r="Z36" s="253">
        <f t="shared" si="18"/>
        <v>20</v>
      </c>
      <c r="AA36" s="254">
        <f>IF(E36="","",VLOOKUP($D36,直管換算表!$A$3:$N$11,'水理計算（例）'!AB$31,FALSE)*'水理計算（例）'!E36)</f>
        <v>3.1</v>
      </c>
      <c r="AB36" s="254">
        <f>IF(F36="","",VLOOKUP($D36,直管換算表!$A$3:$N$11,'水理計算（例）'!AC$31,FALSE)*'水理計算（例）'!F36)</f>
        <v>0.15</v>
      </c>
      <c r="AC36" s="254">
        <f>IF(G36="","",VLOOKUP($D36,直管換算表!$A$3:$N$11,'水理計算（例）'!AD$31,FALSE)*'水理計算（例）'!G36)</f>
        <v>22.1</v>
      </c>
      <c r="AD36" s="254" t="str">
        <f>IF(H36="","",VLOOKUP($D36,直管換算表!$A$3:$N$11,'水理計算（例）'!AE$31,FALSE)*'水理計算（例）'!H36)</f>
        <v/>
      </c>
      <c r="AE36" s="254" t="str">
        <f>IF(I36="","",VLOOKUP($D36,直管換算表!$A$3:$N$11,'水理計算（例）'!AF$31,FALSE)*'水理計算（例）'!I36)</f>
        <v/>
      </c>
      <c r="AF36" s="254" t="str">
        <f>IF(J36="","",VLOOKUP($D36,直管換算表!$A$3:$N$11,'水理計算（例）'!AG$31,FALSE)*'水理計算（例）'!J36)</f>
        <v/>
      </c>
      <c r="AG36" s="254">
        <f>IF(K36="","",VLOOKUP($D36,直管換算表!$A$3:$N$11,'水理計算（例）'!AH$31,FALSE)*'水理計算（例）'!K36)</f>
        <v>2.25</v>
      </c>
      <c r="AH36" s="254" t="str">
        <f>IF(L36="","",VLOOKUP($D36,直管換算表!$A$3:$N$11,'水理計算（例）'!AI$31,FALSE)*'水理計算（例）'!L36)</f>
        <v/>
      </c>
      <c r="AI36" s="254">
        <f>IF(M36="","",VLOOKUP($D36,直管換算表!$A$3:$N$11,'水理計算（例）'!AJ$31,FALSE)*'水理計算（例）'!M36)</f>
        <v>1.2</v>
      </c>
      <c r="AJ36" s="254">
        <f>IF(N36="","",VLOOKUP($D36,直管換算表!$A$3:$N$11,'水理計算（例）'!AK$31,FALSE)*'水理計算（例）'!N36)</f>
        <v>0.48</v>
      </c>
      <c r="AK36" s="254" t="str">
        <f>IF(O36="","",VLOOKUP($D36,直管換算表!$A$3:$N$11,'水理計算（例）'!AL$31,FALSE)*'水理計算（例）'!O36)</f>
        <v/>
      </c>
      <c r="AL36" s="254" t="str">
        <f>IF(P36="","",VLOOKUP($D36,直管換算表!$A$3:$N$11,'水理計算（例）'!AM$31,FALSE)*'水理計算（例）'!P36)</f>
        <v/>
      </c>
      <c r="AM36" s="254" t="str">
        <f>IF(Q36="","",VLOOKUP($D36,直管換算表!$A$3:$N$11,'水理計算（例）'!AN$31,FALSE)*'水理計算（例）'!Q36)</f>
        <v/>
      </c>
      <c r="AN36" s="254">
        <f t="shared" si="19"/>
        <v>29.28</v>
      </c>
      <c r="AP36" s="255"/>
    </row>
    <row r="37" spans="2:42" ht="24.95" customHeight="1" x14ac:dyDescent="0.15">
      <c r="B37" s="192">
        <v>4</v>
      </c>
      <c r="C37" s="248" t="str">
        <f t="shared" si="14"/>
        <v/>
      </c>
      <c r="D37" s="193" t="str">
        <f t="shared" si="15"/>
        <v/>
      </c>
      <c r="E37" s="208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09"/>
      <c r="R37" s="198" t="str">
        <f t="shared" si="16"/>
        <v/>
      </c>
      <c r="S37" s="250" t="str">
        <f t="shared" si="17"/>
        <v/>
      </c>
      <c r="T37" s="202" t="str">
        <f t="shared" si="20"/>
        <v/>
      </c>
      <c r="U37" s="251" t="str">
        <f t="shared" si="21"/>
        <v/>
      </c>
      <c r="V37" s="252" t="str">
        <f t="shared" si="22"/>
        <v/>
      </c>
      <c r="Y37" s="253" t="str">
        <f t="shared" si="18"/>
        <v/>
      </c>
      <c r="Z37" s="253" t="str">
        <f t="shared" si="18"/>
        <v/>
      </c>
      <c r="AA37" s="254" t="str">
        <f>IF(E37="","",VLOOKUP($D37,直管換算表!$A$3:$N$11,'水理計算（例）'!AB$31,FALSE)*'水理計算（例）'!E37)</f>
        <v/>
      </c>
      <c r="AB37" s="254" t="str">
        <f>IF(F37="","",VLOOKUP($D37,直管換算表!$A$3:$N$11,'水理計算（例）'!AC$31,FALSE)*'水理計算（例）'!F37)</f>
        <v/>
      </c>
      <c r="AC37" s="254" t="str">
        <f>IF(G37="","",VLOOKUP($D37,直管換算表!$A$3:$N$11,'水理計算（例）'!AD$31,FALSE)*'水理計算（例）'!G37)</f>
        <v/>
      </c>
      <c r="AD37" s="254" t="str">
        <f>IF(H37="","",VLOOKUP($D37,直管換算表!$A$3:$N$11,'水理計算（例）'!AE$31,FALSE)*'水理計算（例）'!H37)</f>
        <v/>
      </c>
      <c r="AE37" s="254" t="str">
        <f>IF(I37="","",VLOOKUP($D37,直管換算表!$A$3:$N$11,'水理計算（例）'!AF$31,FALSE)*'水理計算（例）'!I37)</f>
        <v/>
      </c>
      <c r="AF37" s="254" t="str">
        <f>IF(J37="","",VLOOKUP($D37,直管換算表!$A$3:$N$11,'水理計算（例）'!AG$31,FALSE)*'水理計算（例）'!J37)</f>
        <v/>
      </c>
      <c r="AG37" s="254" t="str">
        <f>IF(K37="","",VLOOKUP($D37,直管換算表!$A$3:$N$11,'水理計算（例）'!AH$31,FALSE)*'水理計算（例）'!K37)</f>
        <v/>
      </c>
      <c r="AH37" s="254" t="str">
        <f>IF(L37="","",VLOOKUP($D37,直管換算表!$A$3:$N$11,'水理計算（例）'!AI$31,FALSE)*'水理計算（例）'!L37)</f>
        <v/>
      </c>
      <c r="AI37" s="254" t="str">
        <f>IF(M37="","",VLOOKUP($D37,直管換算表!$A$3:$N$11,'水理計算（例）'!AJ$31,FALSE)*'水理計算（例）'!M37)</f>
        <v/>
      </c>
      <c r="AJ37" s="254" t="str">
        <f>IF(N37="","",VLOOKUP($D37,直管換算表!$A$3:$N$11,'水理計算（例）'!AK$31,FALSE)*'水理計算（例）'!N37)</f>
        <v/>
      </c>
      <c r="AK37" s="254" t="str">
        <f>IF(O37="","",VLOOKUP($D37,直管換算表!$A$3:$N$11,'水理計算（例）'!AL$31,FALSE)*'水理計算（例）'!O37)</f>
        <v/>
      </c>
      <c r="AL37" s="254" t="str">
        <f>IF(P37="","",VLOOKUP($D37,直管換算表!$A$3:$N$11,'水理計算（例）'!AM$31,FALSE)*'水理計算（例）'!P37)</f>
        <v/>
      </c>
      <c r="AM37" s="254" t="str">
        <f>IF(Q37="","",VLOOKUP($D37,直管換算表!$A$3:$N$11,'水理計算（例）'!AN$31,FALSE)*'水理計算（例）'!Q37)</f>
        <v/>
      </c>
      <c r="AN37" s="254" t="str">
        <f t="shared" si="19"/>
        <v/>
      </c>
      <c r="AP37" s="255"/>
    </row>
    <row r="38" spans="2:42" ht="24.95" customHeight="1" x14ac:dyDescent="0.15">
      <c r="B38" s="192">
        <v>5</v>
      </c>
      <c r="C38" s="248" t="str">
        <f t="shared" si="14"/>
        <v/>
      </c>
      <c r="D38" s="193" t="str">
        <f t="shared" si="15"/>
        <v/>
      </c>
      <c r="E38" s="208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09"/>
      <c r="R38" s="198" t="str">
        <f t="shared" si="16"/>
        <v/>
      </c>
      <c r="S38" s="250" t="str">
        <f t="shared" si="17"/>
        <v/>
      </c>
      <c r="T38" s="202" t="str">
        <f t="shared" si="20"/>
        <v/>
      </c>
      <c r="U38" s="251" t="str">
        <f t="shared" si="21"/>
        <v/>
      </c>
      <c r="V38" s="252" t="str">
        <f t="shared" si="22"/>
        <v/>
      </c>
      <c r="Y38" s="253" t="str">
        <f t="shared" si="18"/>
        <v/>
      </c>
      <c r="Z38" s="253" t="str">
        <f t="shared" si="18"/>
        <v/>
      </c>
      <c r="AA38" s="254" t="str">
        <f>IF(E38="","",VLOOKUP($D38,直管換算表!$A$3:$N$11,'水理計算（例）'!AB$31,FALSE)*'水理計算（例）'!E38)</f>
        <v/>
      </c>
      <c r="AB38" s="254" t="str">
        <f>IF(F38="","",VLOOKUP($D38,直管換算表!$A$3:$N$11,'水理計算（例）'!AC$31,FALSE)*'水理計算（例）'!F38)</f>
        <v/>
      </c>
      <c r="AC38" s="254" t="str">
        <f>IF(G38="","",VLOOKUP($D38,直管換算表!$A$3:$N$11,'水理計算（例）'!AD$31,FALSE)*'水理計算（例）'!G38)</f>
        <v/>
      </c>
      <c r="AD38" s="254" t="str">
        <f>IF(H38="","",VLOOKUP($D38,直管換算表!$A$3:$N$11,'水理計算（例）'!AE$31,FALSE)*'水理計算（例）'!H38)</f>
        <v/>
      </c>
      <c r="AE38" s="254" t="str">
        <f>IF(I38="","",VLOOKUP($D38,直管換算表!$A$3:$N$11,'水理計算（例）'!AF$31,FALSE)*'水理計算（例）'!I38)</f>
        <v/>
      </c>
      <c r="AF38" s="254" t="str">
        <f>IF(J38="","",VLOOKUP($D38,直管換算表!$A$3:$N$11,'水理計算（例）'!AG$31,FALSE)*'水理計算（例）'!J38)</f>
        <v/>
      </c>
      <c r="AG38" s="254" t="str">
        <f>IF(K38="","",VLOOKUP($D38,直管換算表!$A$3:$N$11,'水理計算（例）'!AH$31,FALSE)*'水理計算（例）'!K38)</f>
        <v/>
      </c>
      <c r="AH38" s="254" t="str">
        <f>IF(L38="","",VLOOKUP($D38,直管換算表!$A$3:$N$11,'水理計算（例）'!AI$31,FALSE)*'水理計算（例）'!L38)</f>
        <v/>
      </c>
      <c r="AI38" s="254" t="str">
        <f>IF(M38="","",VLOOKUP($D38,直管換算表!$A$3:$N$11,'水理計算（例）'!AJ$31,FALSE)*'水理計算（例）'!M38)</f>
        <v/>
      </c>
      <c r="AJ38" s="254" t="str">
        <f>IF(N38="","",VLOOKUP($D38,直管換算表!$A$3:$N$11,'水理計算（例）'!AK$31,FALSE)*'水理計算（例）'!N38)</f>
        <v/>
      </c>
      <c r="AK38" s="254" t="str">
        <f>IF(O38="","",VLOOKUP($D38,直管換算表!$A$3:$N$11,'水理計算（例）'!AL$31,FALSE)*'水理計算（例）'!O38)</f>
        <v/>
      </c>
      <c r="AL38" s="254" t="str">
        <f>IF(P38="","",VLOOKUP($D38,直管換算表!$A$3:$N$11,'水理計算（例）'!AM$31,FALSE)*'水理計算（例）'!P38)</f>
        <v/>
      </c>
      <c r="AM38" s="254" t="str">
        <f>IF(Q38="","",VLOOKUP($D38,直管換算表!$A$3:$N$11,'水理計算（例）'!AN$31,FALSE)*'水理計算（例）'!Q38)</f>
        <v/>
      </c>
      <c r="AN38" s="254" t="str">
        <f t="shared" si="19"/>
        <v/>
      </c>
      <c r="AP38" s="255"/>
    </row>
    <row r="39" spans="2:42" ht="24.95" customHeight="1" x14ac:dyDescent="0.15">
      <c r="B39" s="192">
        <v>6</v>
      </c>
      <c r="C39" s="248" t="str">
        <f t="shared" si="14"/>
        <v/>
      </c>
      <c r="D39" s="193" t="str">
        <f t="shared" si="15"/>
        <v/>
      </c>
      <c r="E39" s="208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09"/>
      <c r="R39" s="198" t="str">
        <f t="shared" si="16"/>
        <v/>
      </c>
      <c r="S39" s="250" t="str">
        <f t="shared" si="17"/>
        <v/>
      </c>
      <c r="T39" s="202" t="str">
        <f t="shared" si="20"/>
        <v/>
      </c>
      <c r="U39" s="251" t="str">
        <f t="shared" si="21"/>
        <v/>
      </c>
      <c r="V39" s="252" t="str">
        <f t="shared" si="22"/>
        <v/>
      </c>
      <c r="Y39" s="253" t="str">
        <f t="shared" si="18"/>
        <v/>
      </c>
      <c r="Z39" s="253" t="str">
        <f t="shared" si="18"/>
        <v/>
      </c>
      <c r="AA39" s="254" t="str">
        <f>IF(E39="","",VLOOKUP($D39,直管換算表!$A$3:$N$11,'水理計算（例）'!AB$31,FALSE)*'水理計算（例）'!E39)</f>
        <v/>
      </c>
      <c r="AB39" s="254" t="str">
        <f>IF(F39="","",VLOOKUP($D39,直管換算表!$A$3:$N$11,'水理計算（例）'!AC$31,FALSE)*'水理計算（例）'!F39)</f>
        <v/>
      </c>
      <c r="AC39" s="254" t="str">
        <f>IF(G39="","",VLOOKUP($D39,直管換算表!$A$3:$N$11,'水理計算（例）'!AD$31,FALSE)*'水理計算（例）'!G39)</f>
        <v/>
      </c>
      <c r="AD39" s="254" t="str">
        <f>IF(H39="","",VLOOKUP($D39,直管換算表!$A$3:$N$11,'水理計算（例）'!AE$31,FALSE)*'水理計算（例）'!H39)</f>
        <v/>
      </c>
      <c r="AE39" s="254" t="str">
        <f>IF(I39="","",VLOOKUP($D39,直管換算表!$A$3:$N$11,'水理計算（例）'!AF$31,FALSE)*'水理計算（例）'!I39)</f>
        <v/>
      </c>
      <c r="AF39" s="254" t="str">
        <f>IF(J39="","",VLOOKUP($D39,直管換算表!$A$3:$N$11,'水理計算（例）'!AG$31,FALSE)*'水理計算（例）'!J39)</f>
        <v/>
      </c>
      <c r="AG39" s="254" t="str">
        <f>IF(K39="","",VLOOKUP($D39,直管換算表!$A$3:$N$11,'水理計算（例）'!AH$31,FALSE)*'水理計算（例）'!K39)</f>
        <v/>
      </c>
      <c r="AH39" s="254" t="str">
        <f>IF(L39="","",VLOOKUP($D39,直管換算表!$A$3:$N$11,'水理計算（例）'!AI$31,FALSE)*'水理計算（例）'!L39)</f>
        <v/>
      </c>
      <c r="AI39" s="254" t="str">
        <f>IF(M39="","",VLOOKUP($D39,直管換算表!$A$3:$N$11,'水理計算（例）'!AJ$31,FALSE)*'水理計算（例）'!M39)</f>
        <v/>
      </c>
      <c r="AJ39" s="254" t="str">
        <f>IF(N39="","",VLOOKUP($D39,直管換算表!$A$3:$N$11,'水理計算（例）'!AK$31,FALSE)*'水理計算（例）'!N39)</f>
        <v/>
      </c>
      <c r="AK39" s="254" t="str">
        <f>IF(O39="","",VLOOKUP($D39,直管換算表!$A$3:$N$11,'水理計算（例）'!AL$31,FALSE)*'水理計算（例）'!O39)</f>
        <v/>
      </c>
      <c r="AL39" s="254" t="str">
        <f>IF(P39="","",VLOOKUP($D39,直管換算表!$A$3:$N$11,'水理計算（例）'!AM$31,FALSE)*'水理計算（例）'!P39)</f>
        <v/>
      </c>
      <c r="AM39" s="254" t="str">
        <f>IF(Q39="","",VLOOKUP($D39,直管換算表!$A$3:$N$11,'水理計算（例）'!AN$31,FALSE)*'水理計算（例）'!Q39)</f>
        <v/>
      </c>
      <c r="AN39" s="254" t="str">
        <f t="shared" si="19"/>
        <v/>
      </c>
      <c r="AP39" s="255"/>
    </row>
    <row r="40" spans="2:42" ht="24.95" customHeight="1" x14ac:dyDescent="0.15">
      <c r="B40" s="192">
        <v>7</v>
      </c>
      <c r="C40" s="248" t="str">
        <f t="shared" si="14"/>
        <v/>
      </c>
      <c r="D40" s="193" t="str">
        <f t="shared" si="15"/>
        <v/>
      </c>
      <c r="E40" s="208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09"/>
      <c r="R40" s="198" t="str">
        <f t="shared" si="16"/>
        <v/>
      </c>
      <c r="S40" s="250" t="str">
        <f t="shared" si="17"/>
        <v/>
      </c>
      <c r="T40" s="202" t="str">
        <f t="shared" si="20"/>
        <v/>
      </c>
      <c r="U40" s="251" t="str">
        <f t="shared" si="21"/>
        <v/>
      </c>
      <c r="V40" s="252" t="str">
        <f t="shared" si="22"/>
        <v/>
      </c>
      <c r="Y40" s="253" t="str">
        <f t="shared" si="18"/>
        <v/>
      </c>
      <c r="Z40" s="253" t="str">
        <f t="shared" si="18"/>
        <v/>
      </c>
      <c r="AA40" s="254" t="str">
        <f>IF(E40="","",VLOOKUP($D40,直管換算表!$A$3:$N$11,'水理計算（例）'!AB$31,FALSE)*'水理計算（例）'!E40)</f>
        <v/>
      </c>
      <c r="AB40" s="254" t="str">
        <f>IF(F40="","",VLOOKUP($D40,直管換算表!$A$3:$N$11,'水理計算（例）'!AC$31,FALSE)*'水理計算（例）'!F40)</f>
        <v/>
      </c>
      <c r="AC40" s="254" t="str">
        <f>IF(G40="","",VLOOKUP($D40,直管換算表!$A$3:$N$11,'水理計算（例）'!AD$31,FALSE)*'水理計算（例）'!G40)</f>
        <v/>
      </c>
      <c r="AD40" s="254" t="str">
        <f>IF(H40="","",VLOOKUP($D40,直管換算表!$A$3:$N$11,'水理計算（例）'!AE$31,FALSE)*'水理計算（例）'!H40)</f>
        <v/>
      </c>
      <c r="AE40" s="254" t="str">
        <f>IF(I40="","",VLOOKUP($D40,直管換算表!$A$3:$N$11,'水理計算（例）'!AF$31,FALSE)*'水理計算（例）'!I40)</f>
        <v/>
      </c>
      <c r="AF40" s="254" t="str">
        <f>IF(J40="","",VLOOKUP($D40,直管換算表!$A$3:$N$11,'水理計算（例）'!AG$31,FALSE)*'水理計算（例）'!J40)</f>
        <v/>
      </c>
      <c r="AG40" s="254" t="str">
        <f>IF(K40="","",VLOOKUP($D40,直管換算表!$A$3:$N$11,'水理計算（例）'!AH$31,FALSE)*'水理計算（例）'!K40)</f>
        <v/>
      </c>
      <c r="AH40" s="254" t="str">
        <f>IF(L40="","",VLOOKUP($D40,直管換算表!$A$3:$N$11,'水理計算（例）'!AI$31,FALSE)*'水理計算（例）'!L40)</f>
        <v/>
      </c>
      <c r="AI40" s="254" t="str">
        <f>IF(M40="","",VLOOKUP($D40,直管換算表!$A$3:$N$11,'水理計算（例）'!AJ$31,FALSE)*'水理計算（例）'!M40)</f>
        <v/>
      </c>
      <c r="AJ40" s="254" t="str">
        <f>IF(N40="","",VLOOKUP($D40,直管換算表!$A$3:$N$11,'水理計算（例）'!AK$31,FALSE)*'水理計算（例）'!N40)</f>
        <v/>
      </c>
      <c r="AK40" s="254" t="str">
        <f>IF(O40="","",VLOOKUP($D40,直管換算表!$A$3:$N$11,'水理計算（例）'!AL$31,FALSE)*'水理計算（例）'!O40)</f>
        <v/>
      </c>
      <c r="AL40" s="254" t="str">
        <f>IF(P40="","",VLOOKUP($D40,直管換算表!$A$3:$N$11,'水理計算（例）'!AM$31,FALSE)*'水理計算（例）'!P40)</f>
        <v/>
      </c>
      <c r="AM40" s="254" t="str">
        <f>IF(Q40="","",VLOOKUP($D40,直管換算表!$A$3:$N$11,'水理計算（例）'!AN$31,FALSE)*'水理計算（例）'!Q40)</f>
        <v/>
      </c>
      <c r="AN40" s="254" t="str">
        <f t="shared" si="19"/>
        <v/>
      </c>
      <c r="AP40" s="255"/>
    </row>
    <row r="41" spans="2:42" ht="24.95" customHeight="1" x14ac:dyDescent="0.15">
      <c r="B41" s="192">
        <v>8</v>
      </c>
      <c r="C41" s="248" t="str">
        <f t="shared" si="14"/>
        <v/>
      </c>
      <c r="D41" s="193" t="str">
        <f t="shared" si="15"/>
        <v/>
      </c>
      <c r="E41" s="208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09"/>
      <c r="R41" s="198" t="str">
        <f t="shared" si="16"/>
        <v/>
      </c>
      <c r="S41" s="250" t="str">
        <f t="shared" si="17"/>
        <v/>
      </c>
      <c r="T41" s="202" t="str">
        <f t="shared" si="20"/>
        <v/>
      </c>
      <c r="U41" s="251" t="str">
        <f t="shared" si="21"/>
        <v/>
      </c>
      <c r="V41" s="252" t="str">
        <f t="shared" si="22"/>
        <v/>
      </c>
      <c r="Y41" s="253" t="str">
        <f t="shared" si="18"/>
        <v/>
      </c>
      <c r="Z41" s="253" t="str">
        <f t="shared" si="18"/>
        <v/>
      </c>
      <c r="AA41" s="254" t="str">
        <f>IF(E41="","",VLOOKUP($D41,直管換算表!$A$3:$N$11,'水理計算（例）'!AB$31,FALSE)*'水理計算（例）'!E41)</f>
        <v/>
      </c>
      <c r="AB41" s="254" t="str">
        <f>IF(F41="","",VLOOKUP($D41,直管換算表!$A$3:$N$11,'水理計算（例）'!AC$31,FALSE)*'水理計算（例）'!F41)</f>
        <v/>
      </c>
      <c r="AC41" s="254" t="str">
        <f>IF(G41="","",VLOOKUP($D41,直管換算表!$A$3:$N$11,'水理計算（例）'!AD$31,FALSE)*'水理計算（例）'!G41)</f>
        <v/>
      </c>
      <c r="AD41" s="254" t="str">
        <f>IF(H41="","",VLOOKUP($D41,直管換算表!$A$3:$N$11,'水理計算（例）'!AE$31,FALSE)*'水理計算（例）'!H41)</f>
        <v/>
      </c>
      <c r="AE41" s="254" t="str">
        <f>IF(I41="","",VLOOKUP($D41,直管換算表!$A$3:$N$11,'水理計算（例）'!AF$31,FALSE)*'水理計算（例）'!I41)</f>
        <v/>
      </c>
      <c r="AF41" s="254" t="str">
        <f>IF(J41="","",VLOOKUP($D41,直管換算表!$A$3:$N$11,'水理計算（例）'!AG$31,FALSE)*'水理計算（例）'!J41)</f>
        <v/>
      </c>
      <c r="AG41" s="254" t="str">
        <f>IF(K41="","",VLOOKUP($D41,直管換算表!$A$3:$N$11,'水理計算（例）'!AH$31,FALSE)*'水理計算（例）'!K41)</f>
        <v/>
      </c>
      <c r="AH41" s="254" t="str">
        <f>IF(L41="","",VLOOKUP($D41,直管換算表!$A$3:$N$11,'水理計算（例）'!AI$31,FALSE)*'水理計算（例）'!L41)</f>
        <v/>
      </c>
      <c r="AI41" s="254" t="str">
        <f>IF(M41="","",VLOOKUP($D41,直管換算表!$A$3:$N$11,'水理計算（例）'!AJ$31,FALSE)*'水理計算（例）'!M41)</f>
        <v/>
      </c>
      <c r="AJ41" s="254" t="str">
        <f>IF(N41="","",VLOOKUP($D41,直管換算表!$A$3:$N$11,'水理計算（例）'!AK$31,FALSE)*'水理計算（例）'!N41)</f>
        <v/>
      </c>
      <c r="AK41" s="254" t="str">
        <f>IF(O41="","",VLOOKUP($D41,直管換算表!$A$3:$N$11,'水理計算（例）'!AL$31,FALSE)*'水理計算（例）'!O41)</f>
        <v/>
      </c>
      <c r="AL41" s="254" t="str">
        <f>IF(P41="","",VLOOKUP($D41,直管換算表!$A$3:$N$11,'水理計算（例）'!AM$31,FALSE)*'水理計算（例）'!P41)</f>
        <v/>
      </c>
      <c r="AM41" s="254" t="str">
        <f>IF(Q41="","",VLOOKUP($D41,直管換算表!$A$3:$N$11,'水理計算（例）'!AN$31,FALSE)*'水理計算（例）'!Q41)</f>
        <v/>
      </c>
      <c r="AN41" s="254" t="str">
        <f t="shared" si="19"/>
        <v/>
      </c>
      <c r="AP41" s="255"/>
    </row>
    <row r="42" spans="2:42" ht="24.95" customHeight="1" x14ac:dyDescent="0.15">
      <c r="B42" s="192">
        <v>9</v>
      </c>
      <c r="C42" s="248" t="str">
        <f t="shared" si="14"/>
        <v/>
      </c>
      <c r="D42" s="193" t="str">
        <f t="shared" si="15"/>
        <v/>
      </c>
      <c r="E42" s="208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09"/>
      <c r="R42" s="198" t="str">
        <f t="shared" si="16"/>
        <v/>
      </c>
      <c r="S42" s="250" t="str">
        <f t="shared" si="17"/>
        <v/>
      </c>
      <c r="T42" s="202" t="str">
        <f t="shared" si="20"/>
        <v/>
      </c>
      <c r="U42" s="251" t="str">
        <f t="shared" si="21"/>
        <v/>
      </c>
      <c r="V42" s="252" t="str">
        <f t="shared" si="22"/>
        <v/>
      </c>
      <c r="Y42" s="253" t="str">
        <f t="shared" si="18"/>
        <v/>
      </c>
      <c r="Z42" s="253" t="str">
        <f t="shared" si="18"/>
        <v/>
      </c>
      <c r="AA42" s="254" t="str">
        <f>IF(E42="","",VLOOKUP($D42,直管換算表!$A$3:$N$11,'水理計算（例）'!AB$31,FALSE)*'水理計算（例）'!E42)</f>
        <v/>
      </c>
      <c r="AB42" s="254" t="str">
        <f>IF(F42="","",VLOOKUP($D42,直管換算表!$A$3:$N$11,'水理計算（例）'!AC$31,FALSE)*'水理計算（例）'!F42)</f>
        <v/>
      </c>
      <c r="AC42" s="254" t="str">
        <f>IF(G42="","",VLOOKUP($D42,直管換算表!$A$3:$N$11,'水理計算（例）'!AD$31,FALSE)*'水理計算（例）'!G42)</f>
        <v/>
      </c>
      <c r="AD42" s="254" t="str">
        <f>IF(H42="","",VLOOKUP($D42,直管換算表!$A$3:$N$11,'水理計算（例）'!AE$31,FALSE)*'水理計算（例）'!H42)</f>
        <v/>
      </c>
      <c r="AE42" s="254" t="str">
        <f>IF(I42="","",VLOOKUP($D42,直管換算表!$A$3:$N$11,'水理計算（例）'!AF$31,FALSE)*'水理計算（例）'!I42)</f>
        <v/>
      </c>
      <c r="AF42" s="254" t="str">
        <f>IF(J42="","",VLOOKUP($D42,直管換算表!$A$3:$N$11,'水理計算（例）'!AG$31,FALSE)*'水理計算（例）'!J42)</f>
        <v/>
      </c>
      <c r="AG42" s="254" t="str">
        <f>IF(K42="","",VLOOKUP($D42,直管換算表!$A$3:$N$11,'水理計算（例）'!AH$31,FALSE)*'水理計算（例）'!K42)</f>
        <v/>
      </c>
      <c r="AH42" s="254" t="str">
        <f>IF(L42="","",VLOOKUP($D42,直管換算表!$A$3:$N$11,'水理計算（例）'!AI$31,FALSE)*'水理計算（例）'!L42)</f>
        <v/>
      </c>
      <c r="AI42" s="254" t="str">
        <f>IF(M42="","",VLOOKUP($D42,直管換算表!$A$3:$N$11,'水理計算（例）'!AJ$31,FALSE)*'水理計算（例）'!M42)</f>
        <v/>
      </c>
      <c r="AJ42" s="254" t="str">
        <f>IF(N42="","",VLOOKUP($D42,直管換算表!$A$3:$N$11,'水理計算（例）'!AK$31,FALSE)*'水理計算（例）'!N42)</f>
        <v/>
      </c>
      <c r="AK42" s="254" t="str">
        <f>IF(O42="","",VLOOKUP($D42,直管換算表!$A$3:$N$11,'水理計算（例）'!AL$31,FALSE)*'水理計算（例）'!O42)</f>
        <v/>
      </c>
      <c r="AL42" s="254" t="str">
        <f>IF(P42="","",VLOOKUP($D42,直管換算表!$A$3:$N$11,'水理計算（例）'!AM$31,FALSE)*'水理計算（例）'!P42)</f>
        <v/>
      </c>
      <c r="AM42" s="254" t="str">
        <f>IF(Q42="","",VLOOKUP($D42,直管換算表!$A$3:$N$11,'水理計算（例）'!AN$31,FALSE)*'水理計算（例）'!Q42)</f>
        <v/>
      </c>
      <c r="AN42" s="254" t="str">
        <f t="shared" si="19"/>
        <v/>
      </c>
      <c r="AP42" s="255"/>
    </row>
    <row r="43" spans="2:42" ht="24.95" customHeight="1" x14ac:dyDescent="0.15">
      <c r="B43" s="192">
        <v>10</v>
      </c>
      <c r="C43" s="248" t="str">
        <f t="shared" si="14"/>
        <v/>
      </c>
      <c r="D43" s="193" t="str">
        <f t="shared" si="15"/>
        <v/>
      </c>
      <c r="E43" s="208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09"/>
      <c r="R43" s="198" t="str">
        <f t="shared" si="16"/>
        <v/>
      </c>
      <c r="S43" s="250" t="str">
        <f t="shared" si="17"/>
        <v/>
      </c>
      <c r="T43" s="202" t="str">
        <f t="shared" si="20"/>
        <v/>
      </c>
      <c r="U43" s="251" t="str">
        <f t="shared" si="21"/>
        <v/>
      </c>
      <c r="V43" s="252" t="str">
        <f t="shared" si="22"/>
        <v/>
      </c>
      <c r="Y43" s="253" t="str">
        <f t="shared" si="18"/>
        <v/>
      </c>
      <c r="Z43" s="253" t="str">
        <f t="shared" si="18"/>
        <v/>
      </c>
      <c r="AA43" s="254" t="str">
        <f>IF(E43="","",VLOOKUP($D43,直管換算表!$A$3:$N$11,'水理計算（例）'!AB$31,FALSE)*'水理計算（例）'!E43)</f>
        <v/>
      </c>
      <c r="AB43" s="254" t="str">
        <f>IF(F43="","",VLOOKUP($D43,直管換算表!$A$3:$N$11,'水理計算（例）'!AC$31,FALSE)*'水理計算（例）'!F43)</f>
        <v/>
      </c>
      <c r="AC43" s="254" t="str">
        <f>IF(G43="","",VLOOKUP($D43,直管換算表!$A$3:$N$11,'水理計算（例）'!AD$31,FALSE)*'水理計算（例）'!G43)</f>
        <v/>
      </c>
      <c r="AD43" s="254" t="str">
        <f>IF(H43="","",VLOOKUP($D43,直管換算表!$A$3:$N$11,'水理計算（例）'!AE$31,FALSE)*'水理計算（例）'!H43)</f>
        <v/>
      </c>
      <c r="AE43" s="254" t="str">
        <f>IF(I43="","",VLOOKUP($D43,直管換算表!$A$3:$N$11,'水理計算（例）'!AF$31,FALSE)*'水理計算（例）'!I43)</f>
        <v/>
      </c>
      <c r="AF43" s="254" t="str">
        <f>IF(J43="","",VLOOKUP($D43,直管換算表!$A$3:$N$11,'水理計算（例）'!AG$31,FALSE)*'水理計算（例）'!J43)</f>
        <v/>
      </c>
      <c r="AG43" s="254" t="str">
        <f>IF(K43="","",VLOOKUP($D43,直管換算表!$A$3:$N$11,'水理計算（例）'!AH$31,FALSE)*'水理計算（例）'!K43)</f>
        <v/>
      </c>
      <c r="AH43" s="254" t="str">
        <f>IF(L43="","",VLOOKUP($D43,直管換算表!$A$3:$N$11,'水理計算（例）'!AI$31,FALSE)*'水理計算（例）'!L43)</f>
        <v/>
      </c>
      <c r="AI43" s="254" t="str">
        <f>IF(M43="","",VLOOKUP($D43,直管換算表!$A$3:$N$11,'水理計算（例）'!AJ$31,FALSE)*'水理計算（例）'!M43)</f>
        <v/>
      </c>
      <c r="AJ43" s="254" t="str">
        <f>IF(N43="","",VLOOKUP($D43,直管換算表!$A$3:$N$11,'水理計算（例）'!AK$31,FALSE)*'水理計算（例）'!N43)</f>
        <v/>
      </c>
      <c r="AK43" s="254" t="str">
        <f>IF(O43="","",VLOOKUP($D43,直管換算表!$A$3:$N$11,'水理計算（例）'!AL$31,FALSE)*'水理計算（例）'!O43)</f>
        <v/>
      </c>
      <c r="AL43" s="254" t="str">
        <f>IF(P43="","",VLOOKUP($D43,直管換算表!$A$3:$N$11,'水理計算（例）'!AM$31,FALSE)*'水理計算（例）'!P43)</f>
        <v/>
      </c>
      <c r="AM43" s="254" t="str">
        <f>IF(Q43="","",VLOOKUP($D43,直管換算表!$A$3:$N$11,'水理計算（例）'!AN$31,FALSE)*'水理計算（例）'!Q43)</f>
        <v/>
      </c>
      <c r="AN43" s="254" t="str">
        <f t="shared" si="19"/>
        <v/>
      </c>
      <c r="AP43" s="255"/>
    </row>
    <row r="44" spans="2:42" ht="24.95" customHeight="1" x14ac:dyDescent="0.15">
      <c r="B44" s="192">
        <v>11</v>
      </c>
      <c r="C44" s="248" t="str">
        <f t="shared" si="14"/>
        <v/>
      </c>
      <c r="D44" s="193" t="str">
        <f t="shared" si="15"/>
        <v/>
      </c>
      <c r="E44" s="208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09"/>
      <c r="R44" s="198" t="str">
        <f t="shared" si="16"/>
        <v/>
      </c>
      <c r="S44" s="250" t="str">
        <f t="shared" si="17"/>
        <v/>
      </c>
      <c r="T44" s="202" t="str">
        <f t="shared" si="20"/>
        <v/>
      </c>
      <c r="U44" s="251" t="str">
        <f t="shared" si="21"/>
        <v/>
      </c>
      <c r="V44" s="252" t="str">
        <f t="shared" si="22"/>
        <v/>
      </c>
      <c r="Y44" s="253" t="str">
        <f t="shared" si="18"/>
        <v/>
      </c>
      <c r="Z44" s="253" t="str">
        <f t="shared" si="18"/>
        <v/>
      </c>
      <c r="AA44" s="254" t="str">
        <f>IF(E44="","",VLOOKUP($D44,直管換算表!$A$3:$N$11,'水理計算（例）'!AB$31,FALSE)*'水理計算（例）'!E44)</f>
        <v/>
      </c>
      <c r="AB44" s="254" t="str">
        <f>IF(F44="","",VLOOKUP($D44,直管換算表!$A$3:$N$11,'水理計算（例）'!AC$31,FALSE)*'水理計算（例）'!F44)</f>
        <v/>
      </c>
      <c r="AC44" s="254" t="str">
        <f>IF(G44="","",VLOOKUP($D44,直管換算表!$A$3:$N$11,'水理計算（例）'!AD$31,FALSE)*'水理計算（例）'!G44)</f>
        <v/>
      </c>
      <c r="AD44" s="254" t="str">
        <f>IF(H44="","",VLOOKUP($D44,直管換算表!$A$3:$N$11,'水理計算（例）'!AE$31,FALSE)*'水理計算（例）'!H44)</f>
        <v/>
      </c>
      <c r="AE44" s="254" t="str">
        <f>IF(I44="","",VLOOKUP($D44,直管換算表!$A$3:$N$11,'水理計算（例）'!AF$31,FALSE)*'水理計算（例）'!I44)</f>
        <v/>
      </c>
      <c r="AF44" s="254" t="str">
        <f>IF(J44="","",VLOOKUP($D44,直管換算表!$A$3:$N$11,'水理計算（例）'!AG$31,FALSE)*'水理計算（例）'!J44)</f>
        <v/>
      </c>
      <c r="AG44" s="254" t="str">
        <f>IF(K44="","",VLOOKUP($D44,直管換算表!$A$3:$N$11,'水理計算（例）'!AH$31,FALSE)*'水理計算（例）'!K44)</f>
        <v/>
      </c>
      <c r="AH44" s="254" t="str">
        <f>IF(L44="","",VLOOKUP($D44,直管換算表!$A$3:$N$11,'水理計算（例）'!AI$31,FALSE)*'水理計算（例）'!L44)</f>
        <v/>
      </c>
      <c r="AI44" s="254" t="str">
        <f>IF(M44="","",VLOOKUP($D44,直管換算表!$A$3:$N$11,'水理計算（例）'!AJ$31,FALSE)*'水理計算（例）'!M44)</f>
        <v/>
      </c>
      <c r="AJ44" s="254" t="str">
        <f>IF(N44="","",VLOOKUP($D44,直管換算表!$A$3:$N$11,'水理計算（例）'!AK$31,FALSE)*'水理計算（例）'!N44)</f>
        <v/>
      </c>
      <c r="AK44" s="254" t="str">
        <f>IF(O44="","",VLOOKUP($D44,直管換算表!$A$3:$N$11,'水理計算（例）'!AL$31,FALSE)*'水理計算（例）'!O44)</f>
        <v/>
      </c>
      <c r="AL44" s="254" t="str">
        <f>IF(P44="","",VLOOKUP($D44,直管換算表!$A$3:$N$11,'水理計算（例）'!AM$31,FALSE)*'水理計算（例）'!P44)</f>
        <v/>
      </c>
      <c r="AM44" s="254" t="str">
        <f>IF(Q44="","",VLOOKUP($D44,直管換算表!$A$3:$N$11,'水理計算（例）'!AN$31,FALSE)*'水理計算（例）'!Q44)</f>
        <v/>
      </c>
      <c r="AN44" s="254" t="str">
        <f t="shared" si="19"/>
        <v/>
      </c>
      <c r="AP44" s="255"/>
    </row>
    <row r="45" spans="2:42" ht="24.95" customHeight="1" x14ac:dyDescent="0.15">
      <c r="B45" s="192">
        <v>12</v>
      </c>
      <c r="C45" s="248" t="str">
        <f t="shared" si="14"/>
        <v/>
      </c>
      <c r="D45" s="193" t="str">
        <f t="shared" si="15"/>
        <v/>
      </c>
      <c r="E45" s="208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09"/>
      <c r="R45" s="198" t="str">
        <f t="shared" si="16"/>
        <v/>
      </c>
      <c r="S45" s="250" t="str">
        <f t="shared" si="17"/>
        <v/>
      </c>
      <c r="T45" s="202" t="str">
        <f t="shared" si="20"/>
        <v/>
      </c>
      <c r="U45" s="251" t="str">
        <f t="shared" si="21"/>
        <v/>
      </c>
      <c r="V45" s="252" t="str">
        <f t="shared" si="22"/>
        <v/>
      </c>
      <c r="Y45" s="253" t="str">
        <f t="shared" si="18"/>
        <v/>
      </c>
      <c r="Z45" s="253" t="str">
        <f t="shared" si="18"/>
        <v/>
      </c>
      <c r="AA45" s="254" t="str">
        <f>IF(E45="","",VLOOKUP($D45,直管換算表!$A$3:$N$11,'水理計算（例）'!AB$31,FALSE)*'水理計算（例）'!E45)</f>
        <v/>
      </c>
      <c r="AB45" s="254" t="str">
        <f>IF(F45="","",VLOOKUP($D45,直管換算表!$A$3:$N$11,'水理計算（例）'!AC$31,FALSE)*'水理計算（例）'!F45)</f>
        <v/>
      </c>
      <c r="AC45" s="254" t="str">
        <f>IF(G45="","",VLOOKUP($D45,直管換算表!$A$3:$N$11,'水理計算（例）'!AD$31,FALSE)*'水理計算（例）'!G45)</f>
        <v/>
      </c>
      <c r="AD45" s="254" t="str">
        <f>IF(H45="","",VLOOKUP($D45,直管換算表!$A$3:$N$11,'水理計算（例）'!AE$31,FALSE)*'水理計算（例）'!H45)</f>
        <v/>
      </c>
      <c r="AE45" s="254" t="str">
        <f>IF(I45="","",VLOOKUP($D45,直管換算表!$A$3:$N$11,'水理計算（例）'!AF$31,FALSE)*'水理計算（例）'!I45)</f>
        <v/>
      </c>
      <c r="AF45" s="254" t="str">
        <f>IF(J45="","",VLOOKUP($D45,直管換算表!$A$3:$N$11,'水理計算（例）'!AG$31,FALSE)*'水理計算（例）'!J45)</f>
        <v/>
      </c>
      <c r="AG45" s="254" t="str">
        <f>IF(K45="","",VLOOKUP($D45,直管換算表!$A$3:$N$11,'水理計算（例）'!AH$31,FALSE)*'水理計算（例）'!K45)</f>
        <v/>
      </c>
      <c r="AH45" s="254" t="str">
        <f>IF(L45="","",VLOOKUP($D45,直管換算表!$A$3:$N$11,'水理計算（例）'!AI$31,FALSE)*'水理計算（例）'!L45)</f>
        <v/>
      </c>
      <c r="AI45" s="254" t="str">
        <f>IF(M45="","",VLOOKUP($D45,直管換算表!$A$3:$N$11,'水理計算（例）'!AJ$31,FALSE)*'水理計算（例）'!M45)</f>
        <v/>
      </c>
      <c r="AJ45" s="254" t="str">
        <f>IF(N45="","",VLOOKUP($D45,直管換算表!$A$3:$N$11,'水理計算（例）'!AK$31,FALSE)*'水理計算（例）'!N45)</f>
        <v/>
      </c>
      <c r="AK45" s="254" t="str">
        <f>IF(O45="","",VLOOKUP($D45,直管換算表!$A$3:$N$11,'水理計算（例）'!AL$31,FALSE)*'水理計算（例）'!O45)</f>
        <v/>
      </c>
      <c r="AL45" s="254" t="str">
        <f>IF(P45="","",VLOOKUP($D45,直管換算表!$A$3:$N$11,'水理計算（例）'!AM$31,FALSE)*'水理計算（例）'!P45)</f>
        <v/>
      </c>
      <c r="AM45" s="254" t="str">
        <f>IF(Q45="","",VLOOKUP($D45,直管換算表!$A$3:$N$11,'水理計算（例）'!AN$31,FALSE)*'水理計算（例）'!Q45)</f>
        <v/>
      </c>
      <c r="AN45" s="254" t="str">
        <f t="shared" si="19"/>
        <v/>
      </c>
      <c r="AP45" s="255"/>
    </row>
    <row r="46" spans="2:42" ht="24.95" customHeight="1" x14ac:dyDescent="0.15">
      <c r="B46" s="192">
        <v>13</v>
      </c>
      <c r="C46" s="248" t="str">
        <f t="shared" si="14"/>
        <v/>
      </c>
      <c r="D46" s="193" t="str">
        <f t="shared" si="15"/>
        <v/>
      </c>
      <c r="E46" s="208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09"/>
      <c r="R46" s="198" t="str">
        <f t="shared" si="16"/>
        <v/>
      </c>
      <c r="S46" s="250" t="str">
        <f t="shared" si="17"/>
        <v/>
      </c>
      <c r="T46" s="202" t="str">
        <f t="shared" si="20"/>
        <v/>
      </c>
      <c r="U46" s="251" t="str">
        <f t="shared" si="21"/>
        <v/>
      </c>
      <c r="V46" s="252" t="str">
        <f t="shared" si="22"/>
        <v/>
      </c>
      <c r="Y46" s="253" t="str">
        <f t="shared" si="18"/>
        <v/>
      </c>
      <c r="Z46" s="253" t="str">
        <f t="shared" si="18"/>
        <v/>
      </c>
      <c r="AA46" s="254" t="str">
        <f>IF(E46="","",VLOOKUP($D46,直管換算表!$A$3:$N$11,'水理計算（例）'!AB$31,FALSE)*'水理計算（例）'!E46)</f>
        <v/>
      </c>
      <c r="AB46" s="254" t="str">
        <f>IF(F46="","",VLOOKUP($D46,直管換算表!$A$3:$N$11,'水理計算（例）'!AC$31,FALSE)*'水理計算（例）'!F46)</f>
        <v/>
      </c>
      <c r="AC46" s="254" t="str">
        <f>IF(G46="","",VLOOKUP($D46,直管換算表!$A$3:$N$11,'水理計算（例）'!AD$31,FALSE)*'水理計算（例）'!G46)</f>
        <v/>
      </c>
      <c r="AD46" s="254" t="str">
        <f>IF(H46="","",VLOOKUP($D46,直管換算表!$A$3:$N$11,'水理計算（例）'!AE$31,FALSE)*'水理計算（例）'!H46)</f>
        <v/>
      </c>
      <c r="AE46" s="254" t="str">
        <f>IF(I46="","",VLOOKUP($D46,直管換算表!$A$3:$N$11,'水理計算（例）'!AF$31,FALSE)*'水理計算（例）'!I46)</f>
        <v/>
      </c>
      <c r="AF46" s="254" t="str">
        <f>IF(J46="","",VLOOKUP($D46,直管換算表!$A$3:$N$11,'水理計算（例）'!AG$31,FALSE)*'水理計算（例）'!J46)</f>
        <v/>
      </c>
      <c r="AG46" s="254" t="str">
        <f>IF(K46="","",VLOOKUP($D46,直管換算表!$A$3:$N$11,'水理計算（例）'!AH$31,FALSE)*'水理計算（例）'!K46)</f>
        <v/>
      </c>
      <c r="AH46" s="254" t="str">
        <f>IF(L46="","",VLOOKUP($D46,直管換算表!$A$3:$N$11,'水理計算（例）'!AI$31,FALSE)*'水理計算（例）'!L46)</f>
        <v/>
      </c>
      <c r="AI46" s="254" t="str">
        <f>IF(M46="","",VLOOKUP($D46,直管換算表!$A$3:$N$11,'水理計算（例）'!AJ$31,FALSE)*'水理計算（例）'!M46)</f>
        <v/>
      </c>
      <c r="AJ46" s="254" t="str">
        <f>IF(N46="","",VLOOKUP($D46,直管換算表!$A$3:$N$11,'水理計算（例）'!AK$31,FALSE)*'水理計算（例）'!N46)</f>
        <v/>
      </c>
      <c r="AK46" s="254" t="str">
        <f>IF(O46="","",VLOOKUP($D46,直管換算表!$A$3:$N$11,'水理計算（例）'!AL$31,FALSE)*'水理計算（例）'!O46)</f>
        <v/>
      </c>
      <c r="AL46" s="254" t="str">
        <f>IF(P46="","",VLOOKUP($D46,直管換算表!$A$3:$N$11,'水理計算（例）'!AM$31,FALSE)*'水理計算（例）'!P46)</f>
        <v/>
      </c>
      <c r="AM46" s="254" t="str">
        <f>IF(Q46="","",VLOOKUP($D46,直管換算表!$A$3:$N$11,'水理計算（例）'!AN$31,FALSE)*'水理計算（例）'!Q46)</f>
        <v/>
      </c>
      <c r="AN46" s="254" t="str">
        <f t="shared" si="19"/>
        <v/>
      </c>
      <c r="AP46" s="255"/>
    </row>
    <row r="47" spans="2:42" ht="24.95" customHeight="1" x14ac:dyDescent="0.15">
      <c r="B47" s="192">
        <v>14</v>
      </c>
      <c r="C47" s="248" t="str">
        <f t="shared" si="14"/>
        <v/>
      </c>
      <c r="D47" s="193" t="str">
        <f t="shared" si="15"/>
        <v/>
      </c>
      <c r="E47" s="208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09"/>
      <c r="R47" s="198" t="str">
        <f t="shared" si="16"/>
        <v/>
      </c>
      <c r="S47" s="250" t="str">
        <f t="shared" si="17"/>
        <v/>
      </c>
      <c r="T47" s="202" t="str">
        <f t="shared" si="20"/>
        <v/>
      </c>
      <c r="U47" s="251" t="str">
        <f t="shared" si="21"/>
        <v/>
      </c>
      <c r="V47" s="252" t="str">
        <f t="shared" si="22"/>
        <v/>
      </c>
      <c r="Y47" s="253" t="str">
        <f t="shared" si="18"/>
        <v/>
      </c>
      <c r="Z47" s="253" t="str">
        <f t="shared" si="18"/>
        <v/>
      </c>
      <c r="AA47" s="254" t="str">
        <f>IF(E47="","",VLOOKUP($D47,直管換算表!$A$3:$N$11,'水理計算（例）'!AB$31,FALSE)*'水理計算（例）'!E47)</f>
        <v/>
      </c>
      <c r="AB47" s="254" t="str">
        <f>IF(F47="","",VLOOKUP($D47,直管換算表!$A$3:$N$11,'水理計算（例）'!AC$31,FALSE)*'水理計算（例）'!F47)</f>
        <v/>
      </c>
      <c r="AC47" s="254" t="str">
        <f>IF(G47="","",VLOOKUP($D47,直管換算表!$A$3:$N$11,'水理計算（例）'!AD$31,FALSE)*'水理計算（例）'!G47)</f>
        <v/>
      </c>
      <c r="AD47" s="254" t="str">
        <f>IF(H47="","",VLOOKUP($D47,直管換算表!$A$3:$N$11,'水理計算（例）'!AE$31,FALSE)*'水理計算（例）'!H47)</f>
        <v/>
      </c>
      <c r="AE47" s="254" t="str">
        <f>IF(I47="","",VLOOKUP($D47,直管換算表!$A$3:$N$11,'水理計算（例）'!AF$31,FALSE)*'水理計算（例）'!I47)</f>
        <v/>
      </c>
      <c r="AF47" s="254" t="str">
        <f>IF(J47="","",VLOOKUP($D47,直管換算表!$A$3:$N$11,'水理計算（例）'!AG$31,FALSE)*'水理計算（例）'!J47)</f>
        <v/>
      </c>
      <c r="AG47" s="254" t="str">
        <f>IF(K47="","",VLOOKUP($D47,直管換算表!$A$3:$N$11,'水理計算（例）'!AH$31,FALSE)*'水理計算（例）'!K47)</f>
        <v/>
      </c>
      <c r="AH47" s="254" t="str">
        <f>IF(L47="","",VLOOKUP($D47,直管換算表!$A$3:$N$11,'水理計算（例）'!AI$31,FALSE)*'水理計算（例）'!L47)</f>
        <v/>
      </c>
      <c r="AI47" s="254" t="str">
        <f>IF(M47="","",VLOOKUP($D47,直管換算表!$A$3:$N$11,'水理計算（例）'!AJ$31,FALSE)*'水理計算（例）'!M47)</f>
        <v/>
      </c>
      <c r="AJ47" s="254" t="str">
        <f>IF(N47="","",VLOOKUP($D47,直管換算表!$A$3:$N$11,'水理計算（例）'!AK$31,FALSE)*'水理計算（例）'!N47)</f>
        <v/>
      </c>
      <c r="AK47" s="254" t="str">
        <f>IF(O47="","",VLOOKUP($D47,直管換算表!$A$3:$N$11,'水理計算（例）'!AL$31,FALSE)*'水理計算（例）'!O47)</f>
        <v/>
      </c>
      <c r="AL47" s="254" t="str">
        <f>IF(P47="","",VLOOKUP($D47,直管換算表!$A$3:$N$11,'水理計算（例）'!AM$31,FALSE)*'水理計算（例）'!P47)</f>
        <v/>
      </c>
      <c r="AM47" s="254" t="str">
        <f>IF(Q47="","",VLOOKUP($D47,直管換算表!$A$3:$N$11,'水理計算（例）'!AN$31,FALSE)*'水理計算（例）'!Q47)</f>
        <v/>
      </c>
      <c r="AN47" s="254" t="str">
        <f t="shared" si="19"/>
        <v/>
      </c>
      <c r="AP47" s="255"/>
    </row>
    <row r="48" spans="2:42" ht="24.95" customHeight="1" x14ac:dyDescent="0.15">
      <c r="B48" s="192">
        <v>15</v>
      </c>
      <c r="C48" s="248" t="str">
        <f t="shared" si="14"/>
        <v/>
      </c>
      <c r="D48" s="193" t="str">
        <f t="shared" si="15"/>
        <v/>
      </c>
      <c r="E48" s="208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09"/>
      <c r="R48" s="198" t="str">
        <f t="shared" si="16"/>
        <v/>
      </c>
      <c r="S48" s="250" t="str">
        <f t="shared" si="17"/>
        <v/>
      </c>
      <c r="T48" s="202" t="str">
        <f t="shared" si="20"/>
        <v/>
      </c>
      <c r="U48" s="251" t="str">
        <f t="shared" si="21"/>
        <v/>
      </c>
      <c r="V48" s="252" t="str">
        <f t="shared" si="22"/>
        <v/>
      </c>
      <c r="Y48" s="253" t="str">
        <f t="shared" si="18"/>
        <v/>
      </c>
      <c r="Z48" s="253" t="str">
        <f t="shared" si="18"/>
        <v/>
      </c>
      <c r="AA48" s="254" t="str">
        <f>IF(E48="","",VLOOKUP($D48,直管換算表!$A$3:$N$11,'水理計算（例）'!AB$31,FALSE)*'水理計算（例）'!E48)</f>
        <v/>
      </c>
      <c r="AB48" s="254" t="str">
        <f>IF(F48="","",VLOOKUP($D48,直管換算表!$A$3:$N$11,'水理計算（例）'!AC$31,FALSE)*'水理計算（例）'!F48)</f>
        <v/>
      </c>
      <c r="AC48" s="254" t="str">
        <f>IF(G48="","",VLOOKUP($D48,直管換算表!$A$3:$N$11,'水理計算（例）'!AD$31,FALSE)*'水理計算（例）'!G48)</f>
        <v/>
      </c>
      <c r="AD48" s="254" t="str">
        <f>IF(H48="","",VLOOKUP($D48,直管換算表!$A$3:$N$11,'水理計算（例）'!AE$31,FALSE)*'水理計算（例）'!H48)</f>
        <v/>
      </c>
      <c r="AE48" s="254" t="str">
        <f>IF(I48="","",VLOOKUP($D48,直管換算表!$A$3:$N$11,'水理計算（例）'!AF$31,FALSE)*'水理計算（例）'!I48)</f>
        <v/>
      </c>
      <c r="AF48" s="254" t="str">
        <f>IF(J48="","",VLOOKUP($D48,直管換算表!$A$3:$N$11,'水理計算（例）'!AG$31,FALSE)*'水理計算（例）'!J48)</f>
        <v/>
      </c>
      <c r="AG48" s="254" t="str">
        <f>IF(K48="","",VLOOKUP($D48,直管換算表!$A$3:$N$11,'水理計算（例）'!AH$31,FALSE)*'水理計算（例）'!K48)</f>
        <v/>
      </c>
      <c r="AH48" s="254" t="str">
        <f>IF(L48="","",VLOOKUP($D48,直管換算表!$A$3:$N$11,'水理計算（例）'!AI$31,FALSE)*'水理計算（例）'!L48)</f>
        <v/>
      </c>
      <c r="AI48" s="254" t="str">
        <f>IF(M48="","",VLOOKUP($D48,直管換算表!$A$3:$N$11,'水理計算（例）'!AJ$31,FALSE)*'水理計算（例）'!M48)</f>
        <v/>
      </c>
      <c r="AJ48" s="254" t="str">
        <f>IF(N48="","",VLOOKUP($D48,直管換算表!$A$3:$N$11,'水理計算（例）'!AK$31,FALSE)*'水理計算（例）'!N48)</f>
        <v/>
      </c>
      <c r="AK48" s="254" t="str">
        <f>IF(O48="","",VLOOKUP($D48,直管換算表!$A$3:$N$11,'水理計算（例）'!AL$31,FALSE)*'水理計算（例）'!O48)</f>
        <v/>
      </c>
      <c r="AL48" s="254" t="str">
        <f>IF(P48="","",VLOOKUP($D48,直管換算表!$A$3:$N$11,'水理計算（例）'!AM$31,FALSE)*'水理計算（例）'!P48)</f>
        <v/>
      </c>
      <c r="AM48" s="254" t="str">
        <f>IF(Q48="","",VLOOKUP($D48,直管換算表!$A$3:$N$11,'水理計算（例）'!AN$31,FALSE)*'水理計算（例）'!Q48)</f>
        <v/>
      </c>
      <c r="AN48" s="254" t="str">
        <f t="shared" si="19"/>
        <v/>
      </c>
      <c r="AP48" s="255"/>
    </row>
    <row r="49" spans="2:42" ht="24.95" customHeight="1" x14ac:dyDescent="0.15">
      <c r="B49" s="192">
        <v>16</v>
      </c>
      <c r="C49" s="248" t="str">
        <f t="shared" si="14"/>
        <v/>
      </c>
      <c r="D49" s="193" t="str">
        <f t="shared" si="15"/>
        <v/>
      </c>
      <c r="E49" s="208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09"/>
      <c r="R49" s="198" t="str">
        <f t="shared" si="16"/>
        <v/>
      </c>
      <c r="S49" s="250" t="str">
        <f t="shared" si="17"/>
        <v/>
      </c>
      <c r="T49" s="202" t="str">
        <f t="shared" si="20"/>
        <v/>
      </c>
      <c r="U49" s="251" t="str">
        <f t="shared" si="21"/>
        <v/>
      </c>
      <c r="V49" s="252" t="str">
        <f t="shared" si="22"/>
        <v/>
      </c>
      <c r="Y49" s="253" t="str">
        <f t="shared" si="18"/>
        <v/>
      </c>
      <c r="Z49" s="253" t="str">
        <f t="shared" si="18"/>
        <v/>
      </c>
      <c r="AA49" s="254" t="str">
        <f>IF(E49="","",VLOOKUP($D49,直管換算表!$A$3:$N$11,'水理計算（例）'!AB$31,FALSE)*'水理計算（例）'!E49)</f>
        <v/>
      </c>
      <c r="AB49" s="254" t="str">
        <f>IF(F49="","",VLOOKUP($D49,直管換算表!$A$3:$N$11,'水理計算（例）'!AC$31,FALSE)*'水理計算（例）'!F49)</f>
        <v/>
      </c>
      <c r="AC49" s="254" t="str">
        <f>IF(G49="","",VLOOKUP($D49,直管換算表!$A$3:$N$11,'水理計算（例）'!AD$31,FALSE)*'水理計算（例）'!G49)</f>
        <v/>
      </c>
      <c r="AD49" s="254" t="str">
        <f>IF(H49="","",VLOOKUP($D49,直管換算表!$A$3:$N$11,'水理計算（例）'!AE$31,FALSE)*'水理計算（例）'!H49)</f>
        <v/>
      </c>
      <c r="AE49" s="254" t="str">
        <f>IF(I49="","",VLOOKUP($D49,直管換算表!$A$3:$N$11,'水理計算（例）'!AF$31,FALSE)*'水理計算（例）'!I49)</f>
        <v/>
      </c>
      <c r="AF49" s="254" t="str">
        <f>IF(J49="","",VLOOKUP($D49,直管換算表!$A$3:$N$11,'水理計算（例）'!AG$31,FALSE)*'水理計算（例）'!J49)</f>
        <v/>
      </c>
      <c r="AG49" s="254" t="str">
        <f>IF(K49="","",VLOOKUP($D49,直管換算表!$A$3:$N$11,'水理計算（例）'!AH$31,FALSE)*'水理計算（例）'!K49)</f>
        <v/>
      </c>
      <c r="AH49" s="254" t="str">
        <f>IF(L49="","",VLOOKUP($D49,直管換算表!$A$3:$N$11,'水理計算（例）'!AI$31,FALSE)*'水理計算（例）'!L49)</f>
        <v/>
      </c>
      <c r="AI49" s="254" t="str">
        <f>IF(M49="","",VLOOKUP($D49,直管換算表!$A$3:$N$11,'水理計算（例）'!AJ$31,FALSE)*'水理計算（例）'!M49)</f>
        <v/>
      </c>
      <c r="AJ49" s="254" t="str">
        <f>IF(N49="","",VLOOKUP($D49,直管換算表!$A$3:$N$11,'水理計算（例）'!AK$31,FALSE)*'水理計算（例）'!N49)</f>
        <v/>
      </c>
      <c r="AK49" s="254" t="str">
        <f>IF(O49="","",VLOOKUP($D49,直管換算表!$A$3:$N$11,'水理計算（例）'!AL$31,FALSE)*'水理計算（例）'!O49)</f>
        <v/>
      </c>
      <c r="AL49" s="254" t="str">
        <f>IF(P49="","",VLOOKUP($D49,直管換算表!$A$3:$N$11,'水理計算（例）'!AM$31,FALSE)*'水理計算（例）'!P49)</f>
        <v/>
      </c>
      <c r="AM49" s="254" t="str">
        <f>IF(Q49="","",VLOOKUP($D49,直管換算表!$A$3:$N$11,'水理計算（例）'!AN$31,FALSE)*'水理計算（例）'!Q49)</f>
        <v/>
      </c>
      <c r="AN49" s="254" t="str">
        <f t="shared" si="19"/>
        <v/>
      </c>
      <c r="AP49" s="255"/>
    </row>
    <row r="50" spans="2:42" ht="24.95" customHeight="1" x14ac:dyDescent="0.15">
      <c r="B50" s="192">
        <v>17</v>
      </c>
      <c r="C50" s="248" t="str">
        <f t="shared" si="14"/>
        <v/>
      </c>
      <c r="D50" s="193" t="str">
        <f t="shared" si="15"/>
        <v/>
      </c>
      <c r="E50" s="208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09"/>
      <c r="R50" s="198" t="str">
        <f t="shared" si="16"/>
        <v/>
      </c>
      <c r="S50" s="250" t="str">
        <f t="shared" si="17"/>
        <v/>
      </c>
      <c r="T50" s="202" t="str">
        <f t="shared" si="20"/>
        <v/>
      </c>
      <c r="U50" s="251" t="str">
        <f t="shared" si="21"/>
        <v/>
      </c>
      <c r="V50" s="252" t="str">
        <f t="shared" si="22"/>
        <v/>
      </c>
      <c r="Y50" s="253" t="str">
        <f t="shared" si="18"/>
        <v/>
      </c>
      <c r="Z50" s="253" t="str">
        <f t="shared" si="18"/>
        <v/>
      </c>
      <c r="AA50" s="254" t="str">
        <f>IF(E50="","",VLOOKUP($D50,直管換算表!$A$3:$N$11,'水理計算（例）'!AB$31,FALSE)*'水理計算（例）'!E50)</f>
        <v/>
      </c>
      <c r="AB50" s="254" t="str">
        <f>IF(F50="","",VLOOKUP($D50,直管換算表!$A$3:$N$11,'水理計算（例）'!AC$31,FALSE)*'水理計算（例）'!F50)</f>
        <v/>
      </c>
      <c r="AC50" s="254" t="str">
        <f>IF(G50="","",VLOOKUP($D50,直管換算表!$A$3:$N$11,'水理計算（例）'!AD$31,FALSE)*'水理計算（例）'!G50)</f>
        <v/>
      </c>
      <c r="AD50" s="254" t="str">
        <f>IF(H50="","",VLOOKUP($D50,直管換算表!$A$3:$N$11,'水理計算（例）'!AE$31,FALSE)*'水理計算（例）'!H50)</f>
        <v/>
      </c>
      <c r="AE50" s="254" t="str">
        <f>IF(I50="","",VLOOKUP($D50,直管換算表!$A$3:$N$11,'水理計算（例）'!AF$31,FALSE)*'水理計算（例）'!I50)</f>
        <v/>
      </c>
      <c r="AF50" s="254" t="str">
        <f>IF(J50="","",VLOOKUP($D50,直管換算表!$A$3:$N$11,'水理計算（例）'!AG$31,FALSE)*'水理計算（例）'!J50)</f>
        <v/>
      </c>
      <c r="AG50" s="254" t="str">
        <f>IF(K50="","",VLOOKUP($D50,直管換算表!$A$3:$N$11,'水理計算（例）'!AH$31,FALSE)*'水理計算（例）'!K50)</f>
        <v/>
      </c>
      <c r="AH50" s="254" t="str">
        <f>IF(L50="","",VLOOKUP($D50,直管換算表!$A$3:$N$11,'水理計算（例）'!AI$31,FALSE)*'水理計算（例）'!L50)</f>
        <v/>
      </c>
      <c r="AI50" s="254" t="str">
        <f>IF(M50="","",VLOOKUP($D50,直管換算表!$A$3:$N$11,'水理計算（例）'!AJ$31,FALSE)*'水理計算（例）'!M50)</f>
        <v/>
      </c>
      <c r="AJ50" s="254" t="str">
        <f>IF(N50="","",VLOOKUP($D50,直管換算表!$A$3:$N$11,'水理計算（例）'!AK$31,FALSE)*'水理計算（例）'!N50)</f>
        <v/>
      </c>
      <c r="AK50" s="254" t="str">
        <f>IF(O50="","",VLOOKUP($D50,直管換算表!$A$3:$N$11,'水理計算（例）'!AL$31,FALSE)*'水理計算（例）'!O50)</f>
        <v/>
      </c>
      <c r="AL50" s="254" t="str">
        <f>IF(P50="","",VLOOKUP($D50,直管換算表!$A$3:$N$11,'水理計算（例）'!AM$31,FALSE)*'水理計算（例）'!P50)</f>
        <v/>
      </c>
      <c r="AM50" s="254" t="str">
        <f>IF(Q50="","",VLOOKUP($D50,直管換算表!$A$3:$N$11,'水理計算（例）'!AN$31,FALSE)*'水理計算（例）'!Q50)</f>
        <v/>
      </c>
      <c r="AN50" s="254" t="str">
        <f t="shared" si="19"/>
        <v/>
      </c>
      <c r="AP50" s="255"/>
    </row>
    <row r="51" spans="2:42" ht="24.95" customHeight="1" x14ac:dyDescent="0.15">
      <c r="B51" s="192">
        <v>18</v>
      </c>
      <c r="C51" s="248" t="str">
        <f t="shared" si="14"/>
        <v/>
      </c>
      <c r="D51" s="193" t="str">
        <f t="shared" si="15"/>
        <v/>
      </c>
      <c r="E51" s="208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09"/>
      <c r="R51" s="198" t="str">
        <f t="shared" si="16"/>
        <v/>
      </c>
      <c r="S51" s="250" t="str">
        <f t="shared" si="17"/>
        <v/>
      </c>
      <c r="T51" s="202" t="str">
        <f t="shared" si="20"/>
        <v/>
      </c>
      <c r="U51" s="251" t="str">
        <f t="shared" si="21"/>
        <v/>
      </c>
      <c r="V51" s="252" t="str">
        <f t="shared" si="22"/>
        <v/>
      </c>
      <c r="Y51" s="253" t="str">
        <f t="shared" si="18"/>
        <v/>
      </c>
      <c r="Z51" s="253" t="str">
        <f t="shared" si="18"/>
        <v/>
      </c>
      <c r="AA51" s="254" t="str">
        <f>IF(E51="","",VLOOKUP($D51,直管換算表!$A$3:$N$11,'水理計算（例）'!AB$31,FALSE)*'水理計算（例）'!E51)</f>
        <v/>
      </c>
      <c r="AB51" s="254" t="str">
        <f>IF(F51="","",VLOOKUP($D51,直管換算表!$A$3:$N$11,'水理計算（例）'!AC$31,FALSE)*'水理計算（例）'!F51)</f>
        <v/>
      </c>
      <c r="AC51" s="254" t="str">
        <f>IF(G51="","",VLOOKUP($D51,直管換算表!$A$3:$N$11,'水理計算（例）'!AD$31,FALSE)*'水理計算（例）'!G51)</f>
        <v/>
      </c>
      <c r="AD51" s="254" t="str">
        <f>IF(H51="","",VLOOKUP($D51,直管換算表!$A$3:$N$11,'水理計算（例）'!AE$31,FALSE)*'水理計算（例）'!H51)</f>
        <v/>
      </c>
      <c r="AE51" s="254" t="str">
        <f>IF(I51="","",VLOOKUP($D51,直管換算表!$A$3:$N$11,'水理計算（例）'!AF$31,FALSE)*'水理計算（例）'!I51)</f>
        <v/>
      </c>
      <c r="AF51" s="254" t="str">
        <f>IF(J51="","",VLOOKUP($D51,直管換算表!$A$3:$N$11,'水理計算（例）'!AG$31,FALSE)*'水理計算（例）'!J51)</f>
        <v/>
      </c>
      <c r="AG51" s="254" t="str">
        <f>IF(K51="","",VLOOKUP($D51,直管換算表!$A$3:$N$11,'水理計算（例）'!AH$31,FALSE)*'水理計算（例）'!K51)</f>
        <v/>
      </c>
      <c r="AH51" s="254" t="str">
        <f>IF(L51="","",VLOOKUP($D51,直管換算表!$A$3:$N$11,'水理計算（例）'!AI$31,FALSE)*'水理計算（例）'!L51)</f>
        <v/>
      </c>
      <c r="AI51" s="254" t="str">
        <f>IF(M51="","",VLOOKUP($D51,直管換算表!$A$3:$N$11,'水理計算（例）'!AJ$31,FALSE)*'水理計算（例）'!M51)</f>
        <v/>
      </c>
      <c r="AJ51" s="254" t="str">
        <f>IF(N51="","",VLOOKUP($D51,直管換算表!$A$3:$N$11,'水理計算（例）'!AK$31,FALSE)*'水理計算（例）'!N51)</f>
        <v/>
      </c>
      <c r="AK51" s="254" t="str">
        <f>IF(O51="","",VLOOKUP($D51,直管換算表!$A$3:$N$11,'水理計算（例）'!AL$31,FALSE)*'水理計算（例）'!O51)</f>
        <v/>
      </c>
      <c r="AL51" s="254" t="str">
        <f>IF(P51="","",VLOOKUP($D51,直管換算表!$A$3:$N$11,'水理計算（例）'!AM$31,FALSE)*'水理計算（例）'!P51)</f>
        <v/>
      </c>
      <c r="AM51" s="254" t="str">
        <f>IF(Q51="","",VLOOKUP($D51,直管換算表!$A$3:$N$11,'水理計算（例）'!AN$31,FALSE)*'水理計算（例）'!Q51)</f>
        <v/>
      </c>
      <c r="AN51" s="254" t="str">
        <f t="shared" si="19"/>
        <v/>
      </c>
      <c r="AP51" s="255"/>
    </row>
    <row r="52" spans="2:42" ht="24.95" customHeight="1" x14ac:dyDescent="0.15">
      <c r="B52" s="192">
        <v>19</v>
      </c>
      <c r="C52" s="248" t="str">
        <f t="shared" si="14"/>
        <v/>
      </c>
      <c r="D52" s="193" t="str">
        <f t="shared" si="15"/>
        <v/>
      </c>
      <c r="E52" s="208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09"/>
      <c r="R52" s="198" t="str">
        <f t="shared" si="16"/>
        <v/>
      </c>
      <c r="S52" s="250" t="str">
        <f t="shared" si="17"/>
        <v/>
      </c>
      <c r="T52" s="202" t="str">
        <f t="shared" si="20"/>
        <v/>
      </c>
      <c r="U52" s="251" t="str">
        <f t="shared" si="21"/>
        <v/>
      </c>
      <c r="V52" s="252" t="str">
        <f t="shared" si="22"/>
        <v/>
      </c>
      <c r="Y52" s="253" t="str">
        <f t="shared" si="18"/>
        <v/>
      </c>
      <c r="Z52" s="253" t="str">
        <f t="shared" si="18"/>
        <v/>
      </c>
      <c r="AA52" s="254" t="str">
        <f>IF(E52="","",VLOOKUP($D52,直管換算表!$A$3:$N$11,'水理計算（例）'!AB$31,FALSE)*'水理計算（例）'!E52)</f>
        <v/>
      </c>
      <c r="AB52" s="254" t="str">
        <f>IF(F52="","",VLOOKUP($D52,直管換算表!$A$3:$N$11,'水理計算（例）'!AC$31,FALSE)*'水理計算（例）'!F52)</f>
        <v/>
      </c>
      <c r="AC52" s="254" t="str">
        <f>IF(G52="","",VLOOKUP($D52,直管換算表!$A$3:$N$11,'水理計算（例）'!AD$31,FALSE)*'水理計算（例）'!G52)</f>
        <v/>
      </c>
      <c r="AD52" s="254" t="str">
        <f>IF(H52="","",VLOOKUP($D52,直管換算表!$A$3:$N$11,'水理計算（例）'!AE$31,FALSE)*'水理計算（例）'!H52)</f>
        <v/>
      </c>
      <c r="AE52" s="254" t="str">
        <f>IF(I52="","",VLOOKUP($D52,直管換算表!$A$3:$N$11,'水理計算（例）'!AF$31,FALSE)*'水理計算（例）'!I52)</f>
        <v/>
      </c>
      <c r="AF52" s="254" t="str">
        <f>IF(J52="","",VLOOKUP($D52,直管換算表!$A$3:$N$11,'水理計算（例）'!AG$31,FALSE)*'水理計算（例）'!J52)</f>
        <v/>
      </c>
      <c r="AG52" s="254" t="str">
        <f>IF(K52="","",VLOOKUP($D52,直管換算表!$A$3:$N$11,'水理計算（例）'!AH$31,FALSE)*'水理計算（例）'!K52)</f>
        <v/>
      </c>
      <c r="AH52" s="254" t="str">
        <f>IF(L52="","",VLOOKUP($D52,直管換算表!$A$3:$N$11,'水理計算（例）'!AI$31,FALSE)*'水理計算（例）'!L52)</f>
        <v/>
      </c>
      <c r="AI52" s="254" t="str">
        <f>IF(M52="","",VLOOKUP($D52,直管換算表!$A$3:$N$11,'水理計算（例）'!AJ$31,FALSE)*'水理計算（例）'!M52)</f>
        <v/>
      </c>
      <c r="AJ52" s="254" t="str">
        <f>IF(N52="","",VLOOKUP($D52,直管換算表!$A$3:$N$11,'水理計算（例）'!AK$31,FALSE)*'水理計算（例）'!N52)</f>
        <v/>
      </c>
      <c r="AK52" s="254" t="str">
        <f>IF(O52="","",VLOOKUP($D52,直管換算表!$A$3:$N$11,'水理計算（例）'!AL$31,FALSE)*'水理計算（例）'!O52)</f>
        <v/>
      </c>
      <c r="AL52" s="254" t="str">
        <f>IF(P52="","",VLOOKUP($D52,直管換算表!$A$3:$N$11,'水理計算（例）'!AM$31,FALSE)*'水理計算（例）'!P52)</f>
        <v/>
      </c>
      <c r="AM52" s="254" t="str">
        <f>IF(Q52="","",VLOOKUP($D52,直管換算表!$A$3:$N$11,'水理計算（例）'!AN$31,FALSE)*'水理計算（例）'!Q52)</f>
        <v/>
      </c>
      <c r="AN52" s="254" t="str">
        <f t="shared" si="19"/>
        <v/>
      </c>
      <c r="AP52" s="255"/>
    </row>
    <row r="53" spans="2:42" ht="24.95" customHeight="1" thickBot="1" x14ac:dyDescent="0.2">
      <c r="B53" s="214">
        <v>20</v>
      </c>
      <c r="C53" s="257" t="str">
        <f t="shared" si="14"/>
        <v/>
      </c>
      <c r="D53" s="215" t="str">
        <f t="shared" si="15"/>
        <v/>
      </c>
      <c r="E53" s="216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17"/>
      <c r="R53" s="259" t="str">
        <f t="shared" si="16"/>
        <v/>
      </c>
      <c r="S53" s="250" t="str">
        <f t="shared" si="17"/>
        <v/>
      </c>
      <c r="T53" s="202" t="str">
        <f t="shared" si="20"/>
        <v/>
      </c>
      <c r="U53" s="251" t="str">
        <f t="shared" si="21"/>
        <v/>
      </c>
      <c r="V53" s="252" t="str">
        <f t="shared" si="22"/>
        <v/>
      </c>
      <c r="Y53" s="253" t="str">
        <f t="shared" si="18"/>
        <v/>
      </c>
      <c r="Z53" s="253" t="str">
        <f t="shared" si="18"/>
        <v/>
      </c>
      <c r="AA53" s="254" t="str">
        <f>IF(E53="","",VLOOKUP($D53,直管換算表!$A$3:$N$11,'水理計算（例）'!AB$31,FALSE)*'水理計算（例）'!E53)</f>
        <v/>
      </c>
      <c r="AB53" s="254" t="str">
        <f>IF(F53="","",VLOOKUP($D53,直管換算表!$A$3:$N$11,'水理計算（例）'!AC$31,FALSE)*'水理計算（例）'!F53)</f>
        <v/>
      </c>
      <c r="AC53" s="254" t="str">
        <f>IF(G53="","",VLOOKUP($D53,直管換算表!$A$3:$N$11,'水理計算（例）'!AD$31,FALSE)*'水理計算（例）'!G53)</f>
        <v/>
      </c>
      <c r="AD53" s="254" t="str">
        <f>IF(H53="","",VLOOKUP($D53,直管換算表!$A$3:$N$11,'水理計算（例）'!AE$31,FALSE)*'水理計算（例）'!H53)</f>
        <v/>
      </c>
      <c r="AE53" s="254" t="str">
        <f>IF(I53="","",VLOOKUP($D53,直管換算表!$A$3:$N$11,'水理計算（例）'!AF$31,FALSE)*'水理計算（例）'!I53)</f>
        <v/>
      </c>
      <c r="AF53" s="254" t="str">
        <f>IF(J53="","",VLOOKUP($D53,直管換算表!$A$3:$N$11,'水理計算（例）'!AG$31,FALSE)*'水理計算（例）'!J53)</f>
        <v/>
      </c>
      <c r="AG53" s="254" t="str">
        <f>IF(K53="","",VLOOKUP($D53,直管換算表!$A$3:$N$11,'水理計算（例）'!AH$31,FALSE)*'水理計算（例）'!K53)</f>
        <v/>
      </c>
      <c r="AH53" s="254" t="str">
        <f>IF(L53="","",VLOOKUP($D53,直管換算表!$A$3:$N$11,'水理計算（例）'!AI$31,FALSE)*'水理計算（例）'!L53)</f>
        <v/>
      </c>
      <c r="AI53" s="254" t="str">
        <f>IF(M53="","",VLOOKUP($D53,直管換算表!$A$3:$N$11,'水理計算（例）'!AJ$31,FALSE)*'水理計算（例）'!M53)</f>
        <v/>
      </c>
      <c r="AJ53" s="254" t="str">
        <f>IF(N53="","",VLOOKUP($D53,直管換算表!$A$3:$N$11,'水理計算（例）'!AK$31,FALSE)*'水理計算（例）'!N53)</f>
        <v/>
      </c>
      <c r="AK53" s="254" t="str">
        <f>IF(O53="","",VLOOKUP($D53,直管換算表!$A$3:$N$11,'水理計算（例）'!AL$31,FALSE)*'水理計算（例）'!O53)</f>
        <v/>
      </c>
      <c r="AL53" s="254" t="str">
        <f>IF(P53="","",VLOOKUP($D53,直管換算表!$A$3:$N$11,'水理計算（例）'!AM$31,FALSE)*'水理計算（例）'!P53)</f>
        <v/>
      </c>
      <c r="AM53" s="254" t="str">
        <f>IF(Q53="","",VLOOKUP($D53,直管換算表!$A$3:$N$11,'水理計算（例）'!AN$31,FALSE)*'水理計算（例）'!Q53)</f>
        <v/>
      </c>
      <c r="AN53" s="254" t="str">
        <f t="shared" si="19"/>
        <v/>
      </c>
      <c r="AP53" s="255"/>
    </row>
    <row r="54" spans="2:42" ht="24.95" customHeight="1" thickTop="1" x14ac:dyDescent="0.15">
      <c r="B54" s="294" t="s">
        <v>22</v>
      </c>
      <c r="C54" s="294"/>
      <c r="D54" s="260"/>
      <c r="E54" s="226">
        <f>IF(SUM(E34:E53)=0,"",SUM(E34:E53))</f>
        <v>1</v>
      </c>
      <c r="F54" s="226">
        <f t="shared" ref="F54:Q54" si="23">IF(SUM(F34:F53)=0,"",SUM(F34:F53))</f>
        <v>1</v>
      </c>
      <c r="G54" s="226">
        <f t="shared" si="23"/>
        <v>1</v>
      </c>
      <c r="H54" s="226" t="str">
        <f t="shared" si="23"/>
        <v/>
      </c>
      <c r="I54" s="226" t="str">
        <f t="shared" si="23"/>
        <v/>
      </c>
      <c r="J54" s="226" t="str">
        <f t="shared" si="23"/>
        <v/>
      </c>
      <c r="K54" s="226">
        <f t="shared" si="23"/>
        <v>3</v>
      </c>
      <c r="L54" s="226" t="str">
        <f t="shared" si="23"/>
        <v/>
      </c>
      <c r="M54" s="226">
        <f t="shared" si="23"/>
        <v>1</v>
      </c>
      <c r="N54" s="226">
        <f t="shared" si="23"/>
        <v>3</v>
      </c>
      <c r="O54" s="226" t="str">
        <f t="shared" si="23"/>
        <v/>
      </c>
      <c r="P54" s="226" t="str">
        <f t="shared" si="23"/>
        <v/>
      </c>
      <c r="Q54" s="226" t="str">
        <f t="shared" si="23"/>
        <v/>
      </c>
      <c r="R54" s="227">
        <f t="shared" ref="R54:S54" si="24">SUM(R34:R53)</f>
        <v>29.52</v>
      </c>
      <c r="S54" s="261">
        <f t="shared" si="24"/>
        <v>5.5450901401949393</v>
      </c>
      <c r="T54" s="262">
        <f>SUM(T34:T53)</f>
        <v>10.378872573870719</v>
      </c>
      <c r="U54" s="263">
        <f>SUM(U34:U53)</f>
        <v>13.128872573870719</v>
      </c>
      <c r="V54" s="264">
        <f>SUM(V34:V53)</f>
        <v>0.12866295122393306</v>
      </c>
      <c r="Z54" s="158"/>
      <c r="AA54" s="158"/>
      <c r="AB54" s="158"/>
      <c r="AC54" s="158"/>
      <c r="AI54" s="158"/>
    </row>
    <row r="55" spans="2:42" ht="9" customHeight="1" x14ac:dyDescent="0.4"/>
    <row r="57" spans="2:42" ht="15" x14ac:dyDescent="0.4"/>
  </sheetData>
  <sheetProtection algorithmName="SHA-512" hashValue="VtUPGtXZ3JWAb7Ac80ACzkxNOCbo0bD/AyN4Rk9o/zOQVfaO7yNlXsZZ7kmUnFyphQszR3qpw07qW3AucAulQw==" saltValue="LTptCACFEGNzAaclr+h8DQ==" spinCount="100000" sheet="1" objects="1" scenarios="1" selectLockedCells="1"/>
  <mergeCells count="49">
    <mergeCell ref="B1:W1"/>
    <mergeCell ref="B4:C4"/>
    <mergeCell ref="O4:P4"/>
    <mergeCell ref="B6:C6"/>
    <mergeCell ref="D6:F6"/>
    <mergeCell ref="AA6:AB6"/>
    <mergeCell ref="B7:B8"/>
    <mergeCell ref="C7:C8"/>
    <mergeCell ref="E7:F7"/>
    <mergeCell ref="H7:I7"/>
    <mergeCell ref="M7:N7"/>
    <mergeCell ref="O7:P7"/>
    <mergeCell ref="R7:S7"/>
    <mergeCell ref="Y7:Z7"/>
    <mergeCell ref="AA7:AB7"/>
    <mergeCell ref="Y6:Z6"/>
    <mergeCell ref="M32:M33"/>
    <mergeCell ref="B29:C29"/>
    <mergeCell ref="E29:G29"/>
    <mergeCell ref="B31:E31"/>
    <mergeCell ref="B32:B33"/>
    <mergeCell ref="C32:C33"/>
    <mergeCell ref="E32:E33"/>
    <mergeCell ref="F32:F33"/>
    <mergeCell ref="G32:G33"/>
    <mergeCell ref="AL32:AL33"/>
    <mergeCell ref="AM32:AM33"/>
    <mergeCell ref="AB32:AB33"/>
    <mergeCell ref="AC32:AC33"/>
    <mergeCell ref="AD32:AD33"/>
    <mergeCell ref="AE32:AE33"/>
    <mergeCell ref="AF32:AF33"/>
    <mergeCell ref="AG32:AG33"/>
    <mergeCell ref="B54:C54"/>
    <mergeCell ref="AH32:AH33"/>
    <mergeCell ref="AI32:AI33"/>
    <mergeCell ref="AJ32:AJ33"/>
    <mergeCell ref="AK32:AK33"/>
    <mergeCell ref="N32:N33"/>
    <mergeCell ref="O32:O33"/>
    <mergeCell ref="P32:P33"/>
    <mergeCell ref="Q32:Q33"/>
    <mergeCell ref="Y32:Y33"/>
    <mergeCell ref="AA32:AA33"/>
    <mergeCell ref="H32:H33"/>
    <mergeCell ref="I32:I33"/>
    <mergeCell ref="J32:J33"/>
    <mergeCell ref="K32:K33"/>
    <mergeCell ref="L32:L33"/>
  </mergeCells>
  <phoneticPr fontId="2"/>
  <conditionalFormatting sqref="Q9:Q28">
    <cfRule type="containsBlanks" dxfId="6" priority="4">
      <formula>LEN(TRIM(Q9))=0</formula>
    </cfRule>
    <cfRule type="cellIs" dxfId="5" priority="7" operator="greaterThan">
      <formula>2</formula>
    </cfRule>
  </conditionalFormatting>
  <conditionalFormatting sqref="M4">
    <cfRule type="cellIs" dxfId="4" priority="2" operator="lessThan">
      <formula>0.05</formula>
    </cfRule>
  </conditionalFormatting>
  <conditionalFormatting sqref="Q4">
    <cfRule type="cellIs" dxfId="3" priority="1" operator="greaterThan">
      <formula>2</formula>
    </cfRule>
  </conditionalFormatting>
  <conditionalFormatting sqref="E34:Q53">
    <cfRule type="expression" dxfId="2" priority="3">
      <formula>$D34=""</formula>
    </cfRule>
  </conditionalFormatting>
  <conditionalFormatting sqref="J9:J28">
    <cfRule type="containsBlanks" dxfId="1" priority="5">
      <formula>LEN(TRIM(J9))=0</formula>
    </cfRule>
    <cfRule type="cellIs" dxfId="0" priority="6" operator="greaterThan">
      <formula>2</formula>
    </cfRule>
  </conditionalFormatting>
  <dataValidations count="2">
    <dataValidation type="decimal" allowBlank="1" showInputMessage="1" showErrorMessage="1" sqref="D4" xr:uid="{7FAC285B-8D1C-4133-BEEE-F4E45AEDF6F0}">
      <formula1>0.15</formula1>
      <formula2>0.74</formula2>
    </dataValidation>
    <dataValidation type="whole" allowBlank="1" showInputMessage="1" showErrorMessage="1" sqref="D9:D28 E34:Q53" xr:uid="{6EDC4F1B-2A60-4DA0-809E-46D3500202AD}">
      <formula1>0</formula1>
      <formula2>20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E06DC6-1368-463D-9D09-318F51E8231D}">
          <x14:formula1>
            <xm:f>直管換算表!$A$3:$A$11</xm:f>
          </x14:formula1>
          <xm:sqref>M9:M28 E9:E28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2784-579D-44D3-B172-7316B50D9571}">
  <dimension ref="A1:O37"/>
  <sheetViews>
    <sheetView showGridLines="0" showRowColHeaders="0" zoomScaleNormal="100" workbookViewId="0">
      <selection activeCell="D4" sqref="D4"/>
    </sheetView>
  </sheetViews>
  <sheetFormatPr defaultColWidth="9.625" defaultRowHeight="20.100000000000001" customHeight="1" x14ac:dyDescent="0.4"/>
  <cols>
    <col min="1" max="14" width="9.625" style="23"/>
    <col min="15" max="15" width="9.625" style="22"/>
    <col min="16" max="16384" width="9.625" style="23"/>
  </cols>
  <sheetData>
    <row r="1" spans="1:15" ht="20.100000000000001" customHeight="1" x14ac:dyDescent="0.4">
      <c r="A1" s="322" t="s">
        <v>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7" t="s">
        <v>2</v>
      </c>
    </row>
    <row r="2" spans="1:15" ht="40.5" x14ac:dyDescent="0.4">
      <c r="A2" s="24" t="s">
        <v>3</v>
      </c>
      <c r="B2" s="24" t="s">
        <v>4</v>
      </c>
      <c r="C2" s="24" t="s">
        <v>98</v>
      </c>
      <c r="D2" s="24" t="s">
        <v>76</v>
      </c>
      <c r="E2" s="24" t="s">
        <v>73</v>
      </c>
      <c r="F2" s="24" t="s">
        <v>89</v>
      </c>
      <c r="G2" s="24" t="s">
        <v>38</v>
      </c>
      <c r="H2" s="24" t="s">
        <v>36</v>
      </c>
      <c r="I2" s="24" t="s">
        <v>37</v>
      </c>
      <c r="J2" s="24" t="s">
        <v>87</v>
      </c>
      <c r="K2" s="24" t="s">
        <v>88</v>
      </c>
      <c r="L2" s="25" t="s">
        <v>8</v>
      </c>
      <c r="M2" s="24" t="s">
        <v>85</v>
      </c>
      <c r="N2" s="24" t="s">
        <v>86</v>
      </c>
    </row>
    <row r="3" spans="1:15" ht="20.100000000000001" customHeight="1" x14ac:dyDescent="0.4">
      <c r="A3" s="26">
        <v>13</v>
      </c>
      <c r="B3" s="27">
        <v>2.1</v>
      </c>
      <c r="C3" s="27">
        <v>0.12</v>
      </c>
      <c r="D3" s="27">
        <v>15.3</v>
      </c>
      <c r="E3" s="27">
        <v>2.5</v>
      </c>
      <c r="F3" s="27">
        <v>10.1</v>
      </c>
      <c r="G3" s="27">
        <v>1.5</v>
      </c>
      <c r="H3" s="27">
        <v>0.6</v>
      </c>
      <c r="I3" s="27">
        <v>0.36</v>
      </c>
      <c r="J3" s="27">
        <v>0.9</v>
      </c>
      <c r="K3" s="27">
        <v>0.18</v>
      </c>
      <c r="L3" s="27"/>
      <c r="M3" s="27"/>
      <c r="N3" s="27"/>
      <c r="O3" s="22" t="s">
        <v>9</v>
      </c>
    </row>
    <row r="4" spans="1:15" ht="20.100000000000001" customHeight="1" x14ac:dyDescent="0.4">
      <c r="A4" s="27">
        <v>20</v>
      </c>
      <c r="B4" s="27">
        <v>3.1</v>
      </c>
      <c r="C4" s="27">
        <v>0.15</v>
      </c>
      <c r="D4" s="27">
        <v>22.1</v>
      </c>
      <c r="E4" s="27">
        <v>5.6</v>
      </c>
      <c r="F4" s="27">
        <v>10.1</v>
      </c>
      <c r="G4" s="27">
        <v>3.1</v>
      </c>
      <c r="H4" s="27">
        <v>0.75</v>
      </c>
      <c r="I4" s="27">
        <v>0.45</v>
      </c>
      <c r="J4" s="27">
        <v>1.2</v>
      </c>
      <c r="K4" s="27">
        <v>0.24</v>
      </c>
      <c r="L4" s="27">
        <v>0.5</v>
      </c>
      <c r="M4" s="27">
        <v>5.8</v>
      </c>
      <c r="N4" s="27">
        <v>8.8000000000000007</v>
      </c>
      <c r="O4" s="22" t="s">
        <v>9</v>
      </c>
    </row>
    <row r="5" spans="1:15" ht="20.100000000000001" customHeight="1" x14ac:dyDescent="0.4">
      <c r="A5" s="27">
        <v>25</v>
      </c>
      <c r="B5" s="27">
        <v>7.3</v>
      </c>
      <c r="C5" s="27">
        <v>0.18</v>
      </c>
      <c r="D5" s="27">
        <v>32.5</v>
      </c>
      <c r="E5" s="27">
        <v>9.2999999999999989</v>
      </c>
      <c r="F5" s="27">
        <v>12.6</v>
      </c>
      <c r="G5" s="27">
        <v>3.3</v>
      </c>
      <c r="H5" s="27">
        <v>0.9</v>
      </c>
      <c r="I5" s="27">
        <v>0.54</v>
      </c>
      <c r="J5" s="27">
        <v>1.5</v>
      </c>
      <c r="K5" s="27">
        <v>0.27</v>
      </c>
      <c r="L5" s="27">
        <v>0.5</v>
      </c>
      <c r="M5" s="27">
        <v>8.1</v>
      </c>
      <c r="N5" s="27">
        <v>9.1999999999999993</v>
      </c>
      <c r="O5" s="22" t="s">
        <v>9</v>
      </c>
    </row>
    <row r="6" spans="1:15" ht="20.100000000000001" customHeight="1" thickBot="1" x14ac:dyDescent="0.45">
      <c r="A6" s="28">
        <v>30</v>
      </c>
      <c r="B6" s="28">
        <v>3.2</v>
      </c>
      <c r="C6" s="28">
        <v>0.24</v>
      </c>
      <c r="D6" s="28">
        <v>25.200000000000003</v>
      </c>
      <c r="E6" s="28">
        <v>9.2999999999999989</v>
      </c>
      <c r="F6" s="28">
        <v>10.4</v>
      </c>
      <c r="G6" s="28">
        <v>5.5</v>
      </c>
      <c r="H6" s="28">
        <v>1.2</v>
      </c>
      <c r="I6" s="28">
        <v>0.72</v>
      </c>
      <c r="J6" s="28">
        <v>1.8</v>
      </c>
      <c r="K6" s="28">
        <v>0.36</v>
      </c>
      <c r="L6" s="28">
        <v>1</v>
      </c>
      <c r="M6" s="28">
        <v>10.5</v>
      </c>
      <c r="N6" s="28">
        <v>11.9</v>
      </c>
      <c r="O6" s="22" t="s">
        <v>9</v>
      </c>
    </row>
    <row r="7" spans="1:15" ht="20.100000000000001" customHeight="1" thickTop="1" x14ac:dyDescent="0.4">
      <c r="A7" s="29">
        <v>40</v>
      </c>
      <c r="B7" s="29">
        <v>4.7</v>
      </c>
      <c r="C7" s="29">
        <v>0.3</v>
      </c>
      <c r="D7" s="29">
        <v>35.700000000000003</v>
      </c>
      <c r="E7" s="29">
        <v>12</v>
      </c>
      <c r="F7" s="29">
        <v>12.7</v>
      </c>
      <c r="G7" s="29">
        <v>7.1</v>
      </c>
      <c r="H7" s="29">
        <v>1.5</v>
      </c>
      <c r="I7" s="29">
        <v>0.9</v>
      </c>
      <c r="J7" s="29">
        <v>2.1</v>
      </c>
      <c r="K7" s="29">
        <v>0.45</v>
      </c>
      <c r="L7" s="29">
        <v>1</v>
      </c>
      <c r="M7" s="29">
        <v>12.2</v>
      </c>
      <c r="N7" s="29">
        <v>13.8</v>
      </c>
      <c r="O7" s="22" t="s">
        <v>9</v>
      </c>
    </row>
    <row r="8" spans="1:15" ht="20.100000000000001" customHeight="1" thickBot="1" x14ac:dyDescent="0.45">
      <c r="A8" s="28">
        <v>50</v>
      </c>
      <c r="B8" s="28">
        <v>6.3</v>
      </c>
      <c r="C8" s="28">
        <v>0.39</v>
      </c>
      <c r="D8" s="28">
        <v>48.4</v>
      </c>
      <c r="E8" s="28">
        <v>21.400000000000002</v>
      </c>
      <c r="F8" s="28">
        <v>16.899999999999999</v>
      </c>
      <c r="G8" s="28">
        <v>7.8</v>
      </c>
      <c r="H8" s="28">
        <v>2.1</v>
      </c>
      <c r="I8" s="28">
        <v>1.2</v>
      </c>
      <c r="J8" s="30">
        <v>3</v>
      </c>
      <c r="K8" s="28">
        <v>0.6</v>
      </c>
      <c r="L8" s="28">
        <v>1.5</v>
      </c>
      <c r="M8" s="28">
        <v>15.5</v>
      </c>
      <c r="N8" s="28">
        <v>17.600000000000001</v>
      </c>
      <c r="O8" s="22" t="s">
        <v>9</v>
      </c>
    </row>
    <row r="9" spans="1:15" ht="20.100000000000001" customHeight="1" thickTop="1" x14ac:dyDescent="0.4">
      <c r="A9" s="29">
        <v>75</v>
      </c>
      <c r="B9" s="29"/>
      <c r="C9" s="29">
        <v>0.63</v>
      </c>
      <c r="D9" s="29"/>
      <c r="E9" s="29">
        <v>8.1999999999999993</v>
      </c>
      <c r="F9" s="29"/>
      <c r="G9" s="29"/>
      <c r="H9" s="31">
        <v>3</v>
      </c>
      <c r="I9" s="29">
        <v>1.8</v>
      </c>
      <c r="J9" s="29">
        <v>4.5</v>
      </c>
      <c r="K9" s="29">
        <v>0.9</v>
      </c>
      <c r="L9" s="29">
        <v>2</v>
      </c>
      <c r="M9" s="29">
        <v>23.7</v>
      </c>
      <c r="N9" s="29">
        <v>26.9</v>
      </c>
      <c r="O9" s="22" t="s">
        <v>10</v>
      </c>
    </row>
    <row r="10" spans="1:15" ht="20.100000000000001" customHeight="1" x14ac:dyDescent="0.4">
      <c r="A10" s="27">
        <v>100</v>
      </c>
      <c r="B10" s="27"/>
      <c r="C10" s="27">
        <v>0.81</v>
      </c>
      <c r="D10" s="27"/>
      <c r="E10" s="27">
        <v>11.5</v>
      </c>
      <c r="F10" s="27"/>
      <c r="G10" s="27"/>
      <c r="H10" s="27">
        <v>4.2</v>
      </c>
      <c r="I10" s="27">
        <v>2.4</v>
      </c>
      <c r="J10" s="27">
        <v>6.3</v>
      </c>
      <c r="K10" s="27">
        <v>1.2</v>
      </c>
      <c r="L10" s="27">
        <v>3</v>
      </c>
      <c r="M10" s="27">
        <v>30.8</v>
      </c>
      <c r="N10" s="27">
        <v>35.1</v>
      </c>
      <c r="O10" s="22" t="s">
        <v>10</v>
      </c>
    </row>
    <row r="11" spans="1:15" ht="20.100000000000001" customHeight="1" x14ac:dyDescent="0.4">
      <c r="A11" s="27">
        <v>150</v>
      </c>
      <c r="B11" s="27"/>
      <c r="C11" s="27">
        <v>1.2</v>
      </c>
      <c r="D11" s="27"/>
      <c r="E11" s="27">
        <v>18.400000000000002</v>
      </c>
      <c r="F11" s="27"/>
      <c r="G11" s="27"/>
      <c r="H11" s="32">
        <v>6</v>
      </c>
      <c r="I11" s="27">
        <v>3.6</v>
      </c>
      <c r="J11" s="32">
        <v>9</v>
      </c>
      <c r="K11" s="27">
        <v>1.8</v>
      </c>
      <c r="L11" s="27">
        <v>5</v>
      </c>
      <c r="M11" s="27">
        <v>45.6</v>
      </c>
      <c r="N11" s="27">
        <v>51.7</v>
      </c>
      <c r="O11" s="22" t="s">
        <v>10</v>
      </c>
    </row>
    <row r="12" spans="1:15" ht="20.100000000000001" customHeight="1" x14ac:dyDescent="0.4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3">
        <v>14</v>
      </c>
      <c r="O12" s="22">
        <v>15</v>
      </c>
    </row>
    <row r="14" spans="1:15" ht="20.100000000000001" customHeight="1" x14ac:dyDescent="0.4">
      <c r="A14" s="23" t="s">
        <v>90</v>
      </c>
    </row>
    <row r="15" spans="1:15" ht="27" x14ac:dyDescent="0.4">
      <c r="A15" s="33" t="s">
        <v>78</v>
      </c>
      <c r="B15" s="33" t="s">
        <v>77</v>
      </c>
      <c r="C15" s="34"/>
      <c r="D15" s="34"/>
      <c r="E15" s="34"/>
      <c r="F15" s="34"/>
    </row>
    <row r="16" spans="1:15" ht="20.100000000000001" customHeight="1" x14ac:dyDescent="0.4">
      <c r="A16" s="36">
        <v>1</v>
      </c>
      <c r="B16" s="36">
        <v>13</v>
      </c>
      <c r="C16" s="35">
        <v>20</v>
      </c>
      <c r="D16" s="36">
        <f t="shared" ref="D16:D30" si="0">A16</f>
        <v>1</v>
      </c>
      <c r="E16" s="34"/>
      <c r="F16" s="34" t="s">
        <v>40</v>
      </c>
    </row>
    <row r="17" spans="1:6" ht="20.100000000000001" customHeight="1" x14ac:dyDescent="0.4">
      <c r="A17" s="36">
        <v>2</v>
      </c>
      <c r="B17" s="36">
        <v>20</v>
      </c>
      <c r="C17" s="35">
        <v>25</v>
      </c>
      <c r="D17" s="36">
        <f t="shared" si="0"/>
        <v>2</v>
      </c>
      <c r="E17" s="34"/>
      <c r="F17" s="34" t="s">
        <v>41</v>
      </c>
    </row>
    <row r="18" spans="1:6" ht="20.100000000000001" customHeight="1" x14ac:dyDescent="0.4">
      <c r="A18" s="36">
        <v>3</v>
      </c>
      <c r="B18" s="36">
        <v>20</v>
      </c>
      <c r="C18" s="35">
        <v>25</v>
      </c>
      <c r="D18" s="36">
        <f t="shared" si="0"/>
        <v>3</v>
      </c>
      <c r="E18" s="34"/>
      <c r="F18" s="34" t="s">
        <v>42</v>
      </c>
    </row>
    <row r="19" spans="1:6" ht="20.100000000000001" customHeight="1" x14ac:dyDescent="0.4">
      <c r="A19" s="36">
        <v>4</v>
      </c>
      <c r="B19" s="36">
        <v>25</v>
      </c>
      <c r="C19" s="35">
        <v>30</v>
      </c>
      <c r="D19" s="36">
        <f t="shared" si="0"/>
        <v>4</v>
      </c>
      <c r="E19" s="34"/>
      <c r="F19" s="34" t="s">
        <v>43</v>
      </c>
    </row>
    <row r="20" spans="1:6" ht="20.100000000000001" customHeight="1" x14ac:dyDescent="0.4">
      <c r="A20" s="36">
        <v>5</v>
      </c>
      <c r="B20" s="36">
        <v>30</v>
      </c>
      <c r="C20" s="35">
        <v>40</v>
      </c>
      <c r="D20" s="36">
        <f t="shared" si="0"/>
        <v>5</v>
      </c>
      <c r="E20" s="34"/>
      <c r="F20" s="34" t="s">
        <v>44</v>
      </c>
    </row>
    <row r="21" spans="1:6" ht="20.100000000000001" customHeight="1" x14ac:dyDescent="0.4">
      <c r="A21" s="36">
        <v>6</v>
      </c>
      <c r="B21" s="36">
        <v>30</v>
      </c>
      <c r="C21" s="35">
        <v>40</v>
      </c>
      <c r="D21" s="36">
        <f t="shared" si="0"/>
        <v>6</v>
      </c>
      <c r="E21" s="34"/>
      <c r="F21" s="34" t="s">
        <v>45</v>
      </c>
    </row>
    <row r="22" spans="1:6" ht="20.100000000000001" customHeight="1" x14ac:dyDescent="0.4">
      <c r="A22" s="36">
        <v>7</v>
      </c>
      <c r="B22" s="36">
        <v>40</v>
      </c>
      <c r="C22" s="35">
        <v>50</v>
      </c>
      <c r="D22" s="36">
        <f t="shared" si="0"/>
        <v>7</v>
      </c>
      <c r="E22" s="34"/>
      <c r="F22" s="34" t="s">
        <v>46</v>
      </c>
    </row>
    <row r="23" spans="1:6" ht="20.100000000000001" customHeight="1" x14ac:dyDescent="0.4">
      <c r="A23" s="36">
        <v>8</v>
      </c>
      <c r="B23" s="36">
        <v>40</v>
      </c>
      <c r="C23" s="35">
        <v>50</v>
      </c>
      <c r="D23" s="36">
        <f t="shared" si="0"/>
        <v>8</v>
      </c>
      <c r="E23" s="34"/>
      <c r="F23" s="34" t="s">
        <v>47</v>
      </c>
    </row>
    <row r="24" spans="1:6" ht="20.100000000000001" customHeight="1" x14ac:dyDescent="0.4">
      <c r="A24" s="36">
        <v>9</v>
      </c>
      <c r="B24" s="36">
        <v>40</v>
      </c>
      <c r="C24" s="35">
        <v>50</v>
      </c>
      <c r="D24" s="36">
        <f t="shared" si="0"/>
        <v>9</v>
      </c>
      <c r="E24" s="34"/>
      <c r="F24" s="34" t="s">
        <v>48</v>
      </c>
    </row>
    <row r="25" spans="1:6" ht="20.100000000000001" customHeight="1" x14ac:dyDescent="0.4">
      <c r="A25" s="36">
        <v>10</v>
      </c>
      <c r="B25" s="36">
        <v>40</v>
      </c>
      <c r="C25" s="35">
        <v>50</v>
      </c>
      <c r="D25" s="36">
        <f t="shared" si="0"/>
        <v>10</v>
      </c>
      <c r="E25" s="34"/>
      <c r="F25" s="34" t="s">
        <v>49</v>
      </c>
    </row>
    <row r="26" spans="1:6" ht="20.100000000000001" customHeight="1" x14ac:dyDescent="0.4">
      <c r="A26" s="36">
        <v>11</v>
      </c>
      <c r="B26" s="36">
        <v>40</v>
      </c>
      <c r="C26" s="35">
        <v>50</v>
      </c>
      <c r="D26" s="36">
        <f t="shared" si="0"/>
        <v>11</v>
      </c>
      <c r="E26" s="34"/>
      <c r="F26" s="34" t="s">
        <v>50</v>
      </c>
    </row>
    <row r="27" spans="1:6" ht="20.100000000000001" customHeight="1" x14ac:dyDescent="0.4">
      <c r="A27" s="36">
        <v>12</v>
      </c>
      <c r="B27" s="36">
        <v>40</v>
      </c>
      <c r="C27" s="35">
        <v>50</v>
      </c>
      <c r="D27" s="36">
        <f t="shared" si="0"/>
        <v>12</v>
      </c>
      <c r="E27" s="34"/>
      <c r="F27" s="34" t="s">
        <v>51</v>
      </c>
    </row>
    <row r="28" spans="1:6" ht="20.100000000000001" customHeight="1" x14ac:dyDescent="0.4">
      <c r="A28" s="36">
        <v>13</v>
      </c>
      <c r="B28" s="36">
        <v>50</v>
      </c>
      <c r="C28" s="35">
        <v>75</v>
      </c>
      <c r="D28" s="36">
        <f t="shared" si="0"/>
        <v>13</v>
      </c>
      <c r="E28" s="34"/>
      <c r="F28" s="34" t="s">
        <v>52</v>
      </c>
    </row>
    <row r="29" spans="1:6" ht="20.100000000000001" customHeight="1" x14ac:dyDescent="0.4">
      <c r="A29" s="36">
        <v>14</v>
      </c>
      <c r="B29" s="36">
        <v>50</v>
      </c>
      <c r="C29" s="35">
        <v>75</v>
      </c>
      <c r="D29" s="36">
        <f t="shared" si="0"/>
        <v>14</v>
      </c>
      <c r="E29" s="34"/>
      <c r="F29" s="34" t="s">
        <v>53</v>
      </c>
    </row>
    <row r="30" spans="1:6" ht="20.100000000000001" customHeight="1" x14ac:dyDescent="0.4">
      <c r="A30" s="36">
        <v>15</v>
      </c>
      <c r="B30" s="36">
        <v>50</v>
      </c>
      <c r="C30" s="35">
        <v>75</v>
      </c>
      <c r="D30" s="36">
        <f t="shared" si="0"/>
        <v>15</v>
      </c>
      <c r="E30" s="34"/>
      <c r="F30" s="34" t="s">
        <v>54</v>
      </c>
    </row>
    <row r="31" spans="1:6" ht="20.100000000000001" customHeight="1" x14ac:dyDescent="0.4">
      <c r="A31" s="38">
        <v>1</v>
      </c>
      <c r="B31" s="38">
        <v>2</v>
      </c>
      <c r="C31" s="38">
        <v>3</v>
      </c>
      <c r="D31" s="38">
        <v>4</v>
      </c>
      <c r="E31" s="34"/>
      <c r="F31" s="34" t="s">
        <v>55</v>
      </c>
    </row>
    <row r="32" spans="1:6" ht="20.100000000000001" customHeight="1" x14ac:dyDescent="0.4">
      <c r="A32" s="34"/>
      <c r="B32" s="34"/>
      <c r="C32" s="34"/>
      <c r="D32" s="34"/>
      <c r="E32" s="34"/>
      <c r="F32" s="34" t="s">
        <v>56</v>
      </c>
    </row>
    <row r="33" spans="1:6" ht="20.100000000000001" customHeight="1" x14ac:dyDescent="0.4">
      <c r="A33" s="34"/>
      <c r="B33" s="34"/>
      <c r="C33" s="34"/>
      <c r="D33" s="34"/>
      <c r="E33" s="34"/>
      <c r="F33" s="34" t="s">
        <v>57</v>
      </c>
    </row>
    <row r="34" spans="1:6" ht="20.100000000000001" customHeight="1" x14ac:dyDescent="0.4">
      <c r="A34" s="34"/>
      <c r="B34" s="34"/>
      <c r="C34" s="34"/>
      <c r="D34" s="34"/>
      <c r="E34" s="34"/>
      <c r="F34" s="34" t="s">
        <v>58</v>
      </c>
    </row>
    <row r="35" spans="1:6" ht="20.100000000000001" customHeight="1" x14ac:dyDescent="0.4">
      <c r="A35" s="34"/>
      <c r="B35" s="34"/>
      <c r="C35" s="34"/>
      <c r="D35" s="34"/>
      <c r="E35" s="34"/>
      <c r="F35" s="34" t="s">
        <v>59</v>
      </c>
    </row>
    <row r="36" spans="1:6" ht="20.100000000000001" customHeight="1" x14ac:dyDescent="0.4">
      <c r="A36" s="34"/>
      <c r="B36" s="34"/>
      <c r="C36" s="34"/>
      <c r="D36" s="34"/>
      <c r="E36" s="34"/>
      <c r="F36" s="34" t="s">
        <v>60</v>
      </c>
    </row>
    <row r="37" spans="1:6" ht="20.100000000000001" customHeight="1" x14ac:dyDescent="0.4">
      <c r="A37" s="34"/>
      <c r="B37" s="34"/>
      <c r="C37" s="34"/>
      <c r="D37" s="34"/>
      <c r="E37" s="34"/>
      <c r="F37" s="34"/>
    </row>
  </sheetData>
  <sheetProtection algorithmName="SHA-512" hashValue="au9jDVkg2jNHKYMvW3QV/gzXzILrUgY8gKzflrq8/9f2FYTU7cDWf5MWV7gwqmR3qbqg2KZ9S2CvDHvYjOnTcw==" saltValue="xMIX4zd4OWoIi+Ol96dTVQ==" spinCount="100000" sheet="1" objects="1" scenarios="1" selectLockedCells="1"/>
  <mergeCells count="1">
    <mergeCell ref="A1:M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操作方法</vt:lpstr>
      <vt:lpstr>水理計算シート</vt:lpstr>
      <vt:lpstr>水理計算（例）</vt:lpstr>
      <vt:lpstr>直管換算表</vt:lpstr>
      <vt:lpstr>'水理計算（例）'!Print_Area</vt:lpstr>
      <vt:lpstr>水理計算シート!Print_Area</vt:lpstr>
      <vt:lpstr>直管換算表!Print_Area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丹波 広樹</cp:lastModifiedBy>
  <cp:lastPrinted>2025-08-27T06:31:32Z</cp:lastPrinted>
  <dcterms:created xsi:type="dcterms:W3CDTF">2022-07-27T04:56:27Z</dcterms:created>
  <dcterms:modified xsi:type="dcterms:W3CDTF">2025-09-30T23:57:02Z</dcterms:modified>
</cp:coreProperties>
</file>